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kevan\AppData\Local\Temp\OpenDrive\KZxB8TebO9UkTEPWg0oSrQ\sa\Affordable Housing\Affordable Housing Finance\RDC NYCHA RAD RFP 2019\Virgin Islands\Models\"/>
    </mc:Choice>
  </mc:AlternateContent>
  <xr:revisionPtr revIDLastSave="0" documentId="13_ncr:1_{E03C829D-9D23-44BA-A0FF-51A8CC0E1F8D}" xr6:coauthVersionLast="45" xr6:coauthVersionMax="45" xr10:uidLastSave="{00000000-0000-0000-0000-000000000000}"/>
  <bookViews>
    <workbookView xWindow="-98" yWindow="-98" windowWidth="20715" windowHeight="13276" tabRatio="825" xr2:uid="{00000000-000D-0000-FFFF-FFFF00000000}"/>
  </bookViews>
  <sheets>
    <sheet name="Sources and Use" sheetId="2" r:id="rId1"/>
    <sheet name="VIHA Returns and Fees" sheetId="58" state="hidden" r:id="rId2"/>
    <sheet name="Devel. Bud" sheetId="5" r:id="rId3"/>
    <sheet name="Cons Int &amp; Neg Arb" sheetId="57" r:id="rId4"/>
    <sheet name="Cost Detail" sheetId="34" r:id="rId5"/>
    <sheet name="Units &amp; Income" sheetId="1" r:id="rId6"/>
    <sheet name="RADRentComp" sheetId="60" state="hidden" r:id="rId7"/>
    <sheet name="M&amp;O" sheetId="43" r:id="rId8"/>
    <sheet name="Debt Sizing" sheetId="4" r:id="rId9"/>
    <sheet name="Cash Flow" sheetId="41" r:id="rId10"/>
    <sheet name="Tax Credits" sheetId="23" r:id="rId11"/>
    <sheet name="LIHTC Delivery" sheetId="63" r:id="rId12"/>
    <sheet name="Source by Use" sheetId="61" state="hidden" r:id="rId13"/>
    <sheet name="Source by Eligiblity" sheetId="62" state="hidden" r:id="rId14"/>
    <sheet name="Draw Schedule" sheetId="64" r:id="rId15"/>
    <sheet name="Mortgage - Yearly" sheetId="33" state="hidden" r:id="rId16"/>
    <sheet name="Mortgage - Monthly" sheetId="36" state="hidden" r:id="rId17"/>
  </sheets>
  <externalReferences>
    <externalReference r:id="rId18"/>
    <externalReference r:id="rId19"/>
    <externalReference r:id="rId20"/>
  </externalReferences>
  <definedNames>
    <definedName name="_Fill" localSheetId="9" hidden="1">#REF!</definedName>
    <definedName name="_Fill" localSheetId="4" hidden="1">#REF!</definedName>
    <definedName name="_Fill" localSheetId="16" hidden="1">#REF!</definedName>
    <definedName name="_Fill" localSheetId="15" hidden="1">#REF!</definedName>
    <definedName name="_Fill" hidden="1">#REF!</definedName>
    <definedName name="deferredfee" localSheetId="9">'[1]Sources and Use'!$C$22</definedName>
    <definedName name="deferredfee" localSheetId="14">'Draw Schedule'!$C$30</definedName>
    <definedName name="deferredfee" localSheetId="11">'[2]Sources and Use'!#REF!</definedName>
    <definedName name="deferredfee" localSheetId="13">'Source by Eligiblity'!#REF!</definedName>
    <definedName name="deferredfee" localSheetId="12">'Source by Use'!#REF!</definedName>
    <definedName name="deferredfee">'Sources and Use'!#REF!</definedName>
    <definedName name="deferredfee2" localSheetId="14">'Draw Schedule'!$C$30</definedName>
    <definedName name="deferredfee2" localSheetId="13">'Source by Eligiblity'!#REF!</definedName>
    <definedName name="deferredfee2" localSheetId="12">'Source by Use'!#REF!</definedName>
    <definedName name="deferredfee2">#REF!</definedName>
    <definedName name="permloanamount" localSheetId="9">'[1]Debt Sizing'!$L$28</definedName>
    <definedName name="permloanamount" localSheetId="14">'[3]Debt Sizing'!$L$26</definedName>
    <definedName name="permloanamount" localSheetId="11">'[2]Debt Sizing'!$L$26</definedName>
    <definedName name="permloanamount" localSheetId="13">'[3]Debt Sizing'!$L$26</definedName>
    <definedName name="permloanamount" localSheetId="12">'[3]Debt Sizing'!$L$26</definedName>
    <definedName name="permloanamount">'Debt Sizing'!$L$26</definedName>
    <definedName name="_xlnm.Print_Area" localSheetId="9">'Cash Flow'!$A$1:$T$55</definedName>
    <definedName name="_xlnm.Print_Area" localSheetId="3">'Cons Int &amp; Neg Arb'!$A$1:$F$32</definedName>
    <definedName name="_xlnm.Print_Area" localSheetId="4">'Cost Detail'!$A$1:$D$14</definedName>
    <definedName name="_xlnm.Print_Area" localSheetId="8">'Debt Sizing'!$A$1:$P$44</definedName>
    <definedName name="_xlnm.Print_Area" localSheetId="2">'Devel. Bud'!$A$1:$G$93</definedName>
    <definedName name="_xlnm.Print_Area" localSheetId="14">'Draw Schedule'!$A$1:$AJ$149</definedName>
    <definedName name="_xlnm.Print_Area" localSheetId="11">'LIHTC Delivery'!$B$2:$V$40</definedName>
    <definedName name="_xlnm.Print_Area" localSheetId="7">'M&amp;O'!$A$1:$G$29</definedName>
    <definedName name="_xlnm.Print_Area" localSheetId="16">'Mortgage - Monthly'!$A$1:$L$486</definedName>
    <definedName name="_xlnm.Print_Area" localSheetId="15">'Mortgage - Yearly'!$A$1:$I$36</definedName>
    <definedName name="_xlnm.Print_Area" localSheetId="6">RADRentComp!$B$1:$P$72</definedName>
    <definedName name="_xlnm.Print_Area" localSheetId="13">'Source by Eligiblity'!$A$1:$K$82</definedName>
    <definedName name="_xlnm.Print_Area" localSheetId="12">'Source by Use'!$A$1:$M$95</definedName>
    <definedName name="_xlnm.Print_Area" localSheetId="0">'Sources and Use'!$A$1:$E$69</definedName>
    <definedName name="_xlnm.Print_Area" localSheetId="10">'Tax Credits'!$A$1:$E$70</definedName>
    <definedName name="_xlnm.Print_Area" localSheetId="5">'Units &amp; Income'!$A$1:$I$93</definedName>
    <definedName name="_xlnm.Print_Area" localSheetId="1">'VIHA Returns and Fees'!$A$1:$J$29</definedName>
    <definedName name="_xlnm.Print_Titles" localSheetId="9">'Cash Flow'!$A:$C</definedName>
    <definedName name="_xlnm.Print_Titles" localSheetId="2">'Devel. Bud'!$1:$4</definedName>
    <definedName name="_xlnm.Print_Titles" localSheetId="5">'Units &amp; Income'!$1:$4</definedName>
    <definedName name="solver_adj" localSheetId="2" hidden="1">'Devel. Bud'!#REF!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opt" localSheetId="2" hidden="1">'Devel. Bud'!#REF!</definedName>
    <definedName name="solver_pre" localSheetId="2" hidden="1">0.000001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3</definedName>
    <definedName name="solver_val" localSheetId="2" hidden="1">0</definedName>
    <definedName name="totalrooms" localSheetId="9">'[1]Units &amp; Income'!$D$16</definedName>
    <definedName name="totalrooms" localSheetId="14">'[3]Units &amp; Income'!$D$17</definedName>
    <definedName name="totalrooms" localSheetId="11">'[2]Units &amp; Income'!$D$17</definedName>
    <definedName name="totalrooms" localSheetId="13">'[3]Units &amp; Income'!$D$17</definedName>
    <definedName name="totalrooms" localSheetId="12">'[3]Units &amp; Income'!$D$17</definedName>
    <definedName name="totalrooms">'Units &amp; Income'!$D$17</definedName>
    <definedName name="totalunits" localSheetId="9">'[1]Units &amp; Income'!$B$16</definedName>
    <definedName name="totalunits" localSheetId="14">'[3]Units &amp; Income'!$B$17</definedName>
    <definedName name="totalunits" localSheetId="11">'[2]Units &amp; Income'!$B$17</definedName>
    <definedName name="totalunits" localSheetId="13">'[3]Units &amp; Income'!$B$17</definedName>
    <definedName name="totalunits" localSheetId="12">'[3]Units &amp; Income'!$B$17</definedName>
    <definedName name="totalunits">'Units &amp; Income'!$B$17</definedName>
    <definedName name="Z_1ECE83C7_A3CE_4F97_BFD3_498FF783C0D9_.wvu.PrintArea" localSheetId="4" hidden="1">'Cost Detail'!$A$1:$E$14</definedName>
    <definedName name="Z_1ECE83C7_A3CE_4F97_BFD3_498FF783C0D9_.wvu.PrintArea" localSheetId="8" hidden="1">'Debt Sizing'!$A$1:$R$40</definedName>
    <definedName name="Z_1ECE83C7_A3CE_4F97_BFD3_498FF783C0D9_.wvu.PrintArea" localSheetId="2" hidden="1">'Devel. Bud'!$A$1:$E$101</definedName>
    <definedName name="Z_1ECE83C7_A3CE_4F97_BFD3_498FF783C0D9_.wvu.PrintArea" localSheetId="0" hidden="1">'Sources and Use'!$A$1:$D$62</definedName>
    <definedName name="Z_1ECE83C7_A3CE_4F97_BFD3_498FF783C0D9_.wvu.PrintArea" localSheetId="5" hidden="1">'Units &amp; Income'!$A$1:$F$91</definedName>
    <definedName name="Z_25C4E7E7_1006_4A2D_BC83_AEE4ADF8A914_.wvu.PrintArea" localSheetId="4" hidden="1">'Cost Detail'!$A$1:$E$14</definedName>
    <definedName name="Z_25C4E7E7_1006_4A2D_BC83_AEE4ADF8A914_.wvu.PrintArea" localSheetId="8" hidden="1">'Debt Sizing'!$A$1:$R$40</definedName>
    <definedName name="Z_25C4E7E7_1006_4A2D_BC83_AEE4ADF8A914_.wvu.PrintArea" localSheetId="2" hidden="1">'Devel. Bud'!$A$1:$E$101</definedName>
    <definedName name="Z_25C4E7E7_1006_4A2D_BC83_AEE4ADF8A914_.wvu.PrintArea" localSheetId="0" hidden="1">'Sources and Use'!$A$1:$D$62</definedName>
    <definedName name="Z_25C4E7E7_1006_4A2D_BC83_AEE4ADF8A914_.wvu.PrintArea" localSheetId="5" hidden="1">'Units &amp; Income'!$A$1:$F$91</definedName>
    <definedName name="Z_25C4E7E7_1006_4A2D_BC83_AEE4ADF8A914_.wvu.Rows" localSheetId="4" hidden="1">'Cost Detail'!#REF!,'Cost Detail'!#REF!</definedName>
    <definedName name="Z_25C4E7E7_1006_4A2D_BC83_AEE4ADF8A914_.wvu.Rows" localSheetId="2" hidden="1">'Devel. Bud'!#REF!</definedName>
    <definedName name="Z_25C4E7E7_1006_4A2D_BC83_AEE4ADF8A914_.wvu.Rows" localSheetId="0" hidden="1">'Sources and Use'!#REF!</definedName>
    <definedName name="Z_28F81D13_D146_4D67_8981_BA5D7A496326_.wvu.PrintArea" localSheetId="4" hidden="1">'Cost Detail'!$A$1:$H$14</definedName>
    <definedName name="Z_28F81D13_D146_4D67_8981_BA5D7A496326_.wvu.PrintArea" localSheetId="8" hidden="1">'Debt Sizing'!$A$1:$R$42</definedName>
    <definedName name="Z_28F81D13_D146_4D67_8981_BA5D7A496326_.wvu.PrintArea" localSheetId="2" hidden="1">'Devel. Bud'!$A$1:$D$94</definedName>
    <definedName name="Z_28F81D13_D146_4D67_8981_BA5D7A496326_.wvu.PrintArea" localSheetId="0" hidden="1">'Sources and Use'!$A$1:$C$62</definedName>
    <definedName name="Z_28F81D13_D146_4D67_8981_BA5D7A496326_.wvu.PrintArea" localSheetId="5" hidden="1">'Units &amp; Income'!$A$1:$F$91</definedName>
    <definedName name="Z_28F81D13_D146_4D67_8981_BA5D7A496326_.wvu.Rows" localSheetId="4" hidden="1">'Cost Detail'!$13:$13</definedName>
    <definedName name="Z_560D4AFA_61E5_46C3_B0CD_D0EB3053A033_.wvu.PrintArea" localSheetId="4" hidden="1">'Cost Detail'!$A$1:$E$14</definedName>
    <definedName name="Z_560D4AFA_61E5_46C3_B0CD_D0EB3053A033_.wvu.PrintArea" localSheetId="8" hidden="1">'Debt Sizing'!$A$1:$R$40</definedName>
    <definedName name="Z_560D4AFA_61E5_46C3_B0CD_D0EB3053A033_.wvu.PrintArea" localSheetId="2" hidden="1">'Devel. Bud'!$A$1:$E$101</definedName>
    <definedName name="Z_560D4AFA_61E5_46C3_B0CD_D0EB3053A033_.wvu.PrintArea" localSheetId="0" hidden="1">'Sources and Use'!$A$1:$D$62</definedName>
    <definedName name="Z_560D4AFA_61E5_46C3_B0CD_D0EB3053A033_.wvu.PrintArea" localSheetId="5" hidden="1">'Units &amp; Income'!$A$1:$F$91</definedName>
    <definedName name="Z_560D4AFA_61E5_46C3_B0CD_D0EB3053A033_.wvu.Rows" localSheetId="4" hidden="1">'Cost Detail'!#REF!,'Cost Detail'!#REF!</definedName>
    <definedName name="Z_560D4AFA_61E5_46C3_B0CD_D0EB3053A033_.wvu.Rows" localSheetId="2" hidden="1">'Devel. Bud'!#REF!</definedName>
    <definedName name="Z_560D4AFA_61E5_46C3_B0CD_D0EB3053A033_.wvu.Rows" localSheetId="0" hidden="1">'Sources and Use'!#REF!</definedName>
    <definedName name="Z_6EF643BE_69F3_424E_8A44_3890161370D4_.wvu.PrintArea" localSheetId="4" hidden="1">'Cost Detail'!$A$1:$H$14</definedName>
    <definedName name="Z_6EF643BE_69F3_424E_8A44_3890161370D4_.wvu.PrintArea" localSheetId="8" hidden="1">'Debt Sizing'!$A$1:$R$42</definedName>
    <definedName name="Z_6EF643BE_69F3_424E_8A44_3890161370D4_.wvu.PrintArea" localSheetId="2" hidden="1">'Devel. Bud'!$A$1:$D$93</definedName>
    <definedName name="Z_6EF643BE_69F3_424E_8A44_3890161370D4_.wvu.PrintArea" localSheetId="0" hidden="1">'Sources and Use'!$A$1:$C$62</definedName>
    <definedName name="Z_6EF643BE_69F3_424E_8A44_3890161370D4_.wvu.PrintArea" localSheetId="5" hidden="1">'Units &amp; Income'!$A$1:$F$91</definedName>
    <definedName name="Z_6EF643BE_69F3_424E_8A44_3890161370D4_.wvu.Rows" localSheetId="4" hidden="1">'Cost Detail'!$13:$13</definedName>
    <definedName name="Z_AEA5979F_5357_4ED6_A6CA_1BB80F5C7A74_.wvu.PrintArea" localSheetId="4" hidden="1">'Cost Detail'!$A$1:$H$14</definedName>
    <definedName name="Z_AEA5979F_5357_4ED6_A6CA_1BB80F5C7A74_.wvu.PrintArea" localSheetId="8" hidden="1">'Debt Sizing'!$A$1:$R$42</definedName>
    <definedName name="Z_AEA5979F_5357_4ED6_A6CA_1BB80F5C7A74_.wvu.PrintArea" localSheetId="2" hidden="1">'Devel. Bud'!$A$1:$D$93</definedName>
    <definedName name="Z_AEA5979F_5357_4ED6_A6CA_1BB80F5C7A74_.wvu.PrintArea" localSheetId="0" hidden="1">'Sources and Use'!$A$1:$C$62</definedName>
    <definedName name="Z_AEA5979F_5357_4ED6_A6CA_1BB80F5C7A74_.wvu.PrintArea" localSheetId="5" hidden="1">'Units &amp; Income'!$A$1:$F$91</definedName>
    <definedName name="Z_AEA5979F_5357_4ED6_A6CA_1BB80F5C7A74_.wvu.Rows" localSheetId="4" hidden="1">'Cost Detail'!$13:$13</definedName>
    <definedName name="Z_EB776EFC_3589_4DB5_BEAF_1E83D9703F9E_.wvu.Cols" localSheetId="4" hidden="1">'Cost Detail'!#REF!</definedName>
    <definedName name="Z_EB776EFC_3589_4DB5_BEAF_1E83D9703F9E_.wvu.Cols" localSheetId="2" hidden="1">'Devel. Bud'!#REF!</definedName>
    <definedName name="Z_EB776EFC_3589_4DB5_BEAF_1E83D9703F9E_.wvu.PrintArea" localSheetId="8" hidden="1">'Debt Sizing'!$A$1:$R$42</definedName>
    <definedName name="Z_EB776EFC_3589_4DB5_BEAF_1E83D9703F9E_.wvu.PrintArea" localSheetId="2" hidden="1">'Devel. Bud'!$A$1:$D$93</definedName>
    <definedName name="Z_EB776EFC_3589_4DB5_BEAF_1E83D9703F9E_.wvu.PrintArea" localSheetId="5" hidden="1">'Units &amp; Income'!$A$1:$F$91</definedName>
    <definedName name="Z_EB776EFC_3589_4DB5_BEAF_1E83D9703F9E_.wvu.Rows" localSheetId="4" hidden="1">'Cost Detail'!$13:$13</definedName>
    <definedName name="Z_FBB4BF8E_8A9F_4E98_A6F9_5F9BF4C55C67_.wvu.Cols" localSheetId="4" hidden="1">'Cost Detail'!#REF!</definedName>
    <definedName name="Z_FBB4BF8E_8A9F_4E98_A6F9_5F9BF4C55C67_.wvu.Cols" localSheetId="2" hidden="1">'Devel. Bud'!#REF!</definedName>
    <definedName name="Z_FBB4BF8E_8A9F_4E98_A6F9_5F9BF4C55C67_.wvu.PrintArea" localSheetId="8" hidden="1">'Debt Sizing'!$A$1:$R$42</definedName>
    <definedName name="Z_FBB4BF8E_8A9F_4E98_A6F9_5F9BF4C55C67_.wvu.PrintArea" localSheetId="2" hidden="1">'Devel. Bud'!$A$1:$D$93</definedName>
    <definedName name="Z_FBB4BF8E_8A9F_4E98_A6F9_5F9BF4C55C67_.wvu.PrintArea" localSheetId="5" hidden="1">'Units &amp; Income'!$A$1:$F$91</definedName>
    <definedName name="Z_FBB4BF8E_8A9F_4E98_A6F9_5F9BF4C55C67_.wvu.Rows" localSheetId="4" hidden="1">'Cost Detail'!$13:$13</definedName>
  </definedNames>
  <calcPr calcId="191029" iterate="1"/>
  <customWorkbookViews>
    <customWorkbookView name="framirez - Personal View" guid="{25C4E7E7-1006-4A2D-BC83-AEE4ADF8A914}" mergeInterval="0" personalView="1" maximized="1" windowWidth="796" windowHeight="402" tabRatio="734" activeSheetId="4"/>
    <customWorkbookView name="Shelly Fox - Personal View" guid="{28F81D13-D146-4D67-8981-BA5D7A496326}" mergeInterval="0" personalView="1" maximized="1" windowWidth="796" windowHeight="428" tabRatio="601" activeSheetId="5"/>
    <customWorkbookView name="grodney - Personal View" guid="{AEA5979F-5357-4ED6-A6CA-1BB80F5C7A74}" mergeInterval="0" personalView="1" maximized="1" windowWidth="1020" windowHeight="604" tabRatio="601" activeSheetId="1"/>
    <customWorkbookView name="  - Personal View" guid="{EB776EFC-3589-4DB5-BEAF-1E83D9703F9E}" mergeInterval="0" personalView="1" maximized="1" windowWidth="1020" windowHeight="632" tabRatio="601" activeSheetId="3"/>
    <customWorkbookView name="rgrossman - Personal View" guid="{FBB4BF8E-8A9F-4E98-A6F9-5F9BF4C55C67}" mergeInterval="0" personalView="1" maximized="1" windowWidth="796" windowHeight="411" tabRatio="601" activeSheetId="5"/>
    <customWorkbookView name="akoffman - Personal View" guid="{6EF643BE-69F3-424E-8A44-3890161370D4}" mergeInterval="0" personalView="1" maximized="1" windowWidth="796" windowHeight="411" tabRatio="601" activeSheetId="5"/>
    <customWorkbookView name="dandrepont - Personal View" guid="{1ECE83C7-A3CE-4F97-BFD3-498FF783C0D9}" mergeInterval="0" personalView="1" xWindow="365" yWindow="33" windowWidth="649" windowHeight="528" tabRatio="734" activeSheetId="5"/>
    <customWorkbookView name="NYC - Personal View" guid="{560D4AFA-61E5-46C3-B0CD-D0EB3053A033}" mergeInterval="0" personalView="1" maximized="1" windowWidth="994" windowHeight="554" tabRatio="734" activeSheetId="10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1" i="61" l="1"/>
  <c r="F94" i="61"/>
  <c r="E65" i="61"/>
  <c r="E60" i="61"/>
  <c r="E61" i="61"/>
  <c r="E62" i="61"/>
  <c r="E63" i="61"/>
  <c r="G101" i="61"/>
  <c r="F86" i="61"/>
  <c r="E101" i="61"/>
  <c r="E17" i="61"/>
  <c r="E18" i="61"/>
  <c r="E19" i="61"/>
  <c r="E20" i="61"/>
  <c r="E21" i="61"/>
  <c r="E22" i="61"/>
  <c r="E23" i="61"/>
  <c r="E24" i="61"/>
  <c r="E25" i="61"/>
  <c r="E27" i="61"/>
  <c r="E28" i="61"/>
  <c r="E29" i="61"/>
  <c r="E30" i="61"/>
  <c r="E31" i="61"/>
  <c r="E16" i="61"/>
  <c r="J16" i="61"/>
  <c r="J17" i="61"/>
  <c r="J18" i="61"/>
  <c r="J19" i="61"/>
  <c r="J20" i="61"/>
  <c r="J21" i="61"/>
  <c r="J22" i="61"/>
  <c r="J23" i="61"/>
  <c r="J24" i="61"/>
  <c r="J25" i="61"/>
  <c r="J26" i="61"/>
  <c r="J27" i="61"/>
  <c r="J28" i="61"/>
  <c r="J29" i="61"/>
  <c r="J30" i="61"/>
  <c r="I27" i="62"/>
  <c r="I30" i="62"/>
  <c r="E46" i="61"/>
  <c r="E48" i="61"/>
  <c r="E49" i="61"/>
  <c r="E50" i="61"/>
  <c r="E51" i="61"/>
  <c r="J46" i="61"/>
  <c r="J47" i="61"/>
  <c r="J48" i="61"/>
  <c r="E46" i="62"/>
  <c r="L46" i="62" s="1"/>
  <c r="E48" i="62"/>
  <c r="J36" i="61"/>
  <c r="J37" i="61"/>
  <c r="J39" i="61"/>
  <c r="J40" i="61"/>
  <c r="J41" i="61"/>
  <c r="J35" i="61"/>
  <c r="J31" i="61"/>
  <c r="I31" i="62"/>
  <c r="D46" i="61"/>
  <c r="D79" i="64"/>
  <c r="AJ79" i="64" s="1"/>
  <c r="AK79" i="64" s="1"/>
  <c r="D46" i="62"/>
  <c r="G11" i="62"/>
  <c r="H11" i="62"/>
  <c r="D74" i="5"/>
  <c r="G23" i="41" l="1"/>
  <c r="H23" i="41" s="1"/>
  <c r="I23" i="41" s="1"/>
  <c r="J23" i="41" s="1"/>
  <c r="K23" i="41" s="1"/>
  <c r="L23" i="41" s="1"/>
  <c r="M23" i="41" s="1"/>
  <c r="N23" i="41" s="1"/>
  <c r="O23" i="41" s="1"/>
  <c r="P9" i="60" l="1"/>
  <c r="C36" i="1"/>
  <c r="C35" i="1"/>
  <c r="C34" i="1"/>
  <c r="C33" i="1"/>
  <c r="G47" i="60"/>
  <c r="G46" i="60"/>
  <c r="G45" i="60"/>
  <c r="G44" i="60"/>
  <c r="G43" i="60"/>
  <c r="G10" i="60"/>
  <c r="E56" i="60"/>
  <c r="E55" i="60"/>
  <c r="E54" i="60"/>
  <c r="E53" i="60"/>
  <c r="H47" i="60"/>
  <c r="H46" i="60"/>
  <c r="H45" i="60"/>
  <c r="H44" i="60"/>
  <c r="H43" i="60"/>
  <c r="F47" i="60"/>
  <c r="F46" i="60"/>
  <c r="F45" i="60"/>
  <c r="F44" i="60"/>
  <c r="F43" i="60"/>
  <c r="I38" i="60"/>
  <c r="I37" i="60"/>
  <c r="I36" i="60"/>
  <c r="I35" i="60"/>
  <c r="I34" i="60"/>
  <c r="H38" i="60"/>
  <c r="H37" i="60"/>
  <c r="H36" i="60"/>
  <c r="H35" i="60"/>
  <c r="H34" i="60"/>
  <c r="G38" i="60"/>
  <c r="G37" i="60"/>
  <c r="G36" i="60"/>
  <c r="G35" i="60"/>
  <c r="G34" i="60"/>
  <c r="F34" i="60"/>
  <c r="F23" i="60"/>
  <c r="F22" i="60"/>
  <c r="F21" i="60"/>
  <c r="F20" i="60"/>
  <c r="E23" i="60"/>
  <c r="E22" i="60"/>
  <c r="E21" i="60"/>
  <c r="E20" i="60"/>
  <c r="E45" i="60" l="1"/>
  <c r="E46" i="60" s="1"/>
  <c r="E47" i="60" s="1"/>
  <c r="E44" i="60"/>
  <c r="E43" i="60"/>
  <c r="AJ131" i="64" l="1"/>
  <c r="AI131" i="64"/>
  <c r="AH131" i="64"/>
  <c r="AG131" i="64"/>
  <c r="AF131" i="64"/>
  <c r="AE131" i="64"/>
  <c r="AD131" i="64"/>
  <c r="AC131" i="64"/>
  <c r="AB131" i="64"/>
  <c r="AA131" i="64"/>
  <c r="Z131" i="64"/>
  <c r="Y131" i="64"/>
  <c r="X131" i="64"/>
  <c r="W131" i="64"/>
  <c r="V131" i="64"/>
  <c r="U131" i="64"/>
  <c r="T131" i="64"/>
  <c r="S131" i="64"/>
  <c r="R131" i="64"/>
  <c r="Q131" i="64"/>
  <c r="P131" i="64"/>
  <c r="O131" i="64"/>
  <c r="N131" i="64"/>
  <c r="M131" i="64"/>
  <c r="L131" i="64"/>
  <c r="K131" i="64"/>
  <c r="J131" i="64"/>
  <c r="I131" i="64"/>
  <c r="H131" i="64"/>
  <c r="G131" i="64"/>
  <c r="F131" i="64"/>
  <c r="AI130" i="64"/>
  <c r="AH130" i="64"/>
  <c r="AG130" i="64"/>
  <c r="AF130" i="64"/>
  <c r="AE130" i="64"/>
  <c r="AC130" i="64"/>
  <c r="AB130" i="64"/>
  <c r="AA130" i="64"/>
  <c r="Z130" i="64"/>
  <c r="Y130" i="64"/>
  <c r="X130" i="64"/>
  <c r="W130" i="64"/>
  <c r="V130" i="64"/>
  <c r="U130" i="64"/>
  <c r="T130" i="64"/>
  <c r="S130" i="64"/>
  <c r="Q130" i="64"/>
  <c r="P130" i="64"/>
  <c r="O130" i="64"/>
  <c r="N130" i="64"/>
  <c r="M130" i="64"/>
  <c r="L130" i="64"/>
  <c r="K130" i="64"/>
  <c r="J130" i="64"/>
  <c r="I130" i="64"/>
  <c r="H130" i="64"/>
  <c r="F130" i="64"/>
  <c r="AI123" i="64"/>
  <c r="AH123" i="64"/>
  <c r="D123" i="64"/>
  <c r="AJ152" i="64"/>
  <c r="AI152" i="64"/>
  <c r="AH152" i="64"/>
  <c r="AG152" i="64"/>
  <c r="AF152" i="64"/>
  <c r="AE152" i="64"/>
  <c r="AD152" i="64"/>
  <c r="AC152" i="64"/>
  <c r="AB152" i="64"/>
  <c r="AA152" i="64"/>
  <c r="Z152" i="64"/>
  <c r="Y152" i="64"/>
  <c r="X152" i="64"/>
  <c r="W152" i="64"/>
  <c r="V152" i="64"/>
  <c r="U152" i="64"/>
  <c r="T152" i="64"/>
  <c r="S152" i="64"/>
  <c r="R152" i="64"/>
  <c r="Q152" i="64"/>
  <c r="P152" i="64"/>
  <c r="O152" i="64"/>
  <c r="N152" i="64"/>
  <c r="M152" i="64"/>
  <c r="L152" i="64"/>
  <c r="K152" i="64"/>
  <c r="J152" i="64"/>
  <c r="I152" i="64"/>
  <c r="H152" i="64"/>
  <c r="G152" i="64"/>
  <c r="AJ114" i="64" l="1"/>
  <c r="AK114" i="64" s="1"/>
  <c r="G126" i="64"/>
  <c r="I126" i="64" s="1"/>
  <c r="K126" i="64" s="1"/>
  <c r="M126" i="64" s="1"/>
  <c r="O126" i="64" s="1"/>
  <c r="Q126" i="64" s="1"/>
  <c r="S126" i="64" s="1"/>
  <c r="U126" i="64" s="1"/>
  <c r="W126" i="64" s="1"/>
  <c r="Y126" i="64" s="1"/>
  <c r="AA126" i="64" s="1"/>
  <c r="AC126" i="64" s="1"/>
  <c r="AE126" i="64" s="1"/>
  <c r="AG126" i="64" s="1"/>
  <c r="AI126" i="64" s="1"/>
  <c r="D110" i="64"/>
  <c r="AD110" i="64" s="1"/>
  <c r="X14" i="64"/>
  <c r="Y14" i="64"/>
  <c r="Z14" i="64"/>
  <c r="AA14" i="64"/>
  <c r="X15" i="64"/>
  <c r="Y15" i="64"/>
  <c r="Z15" i="64"/>
  <c r="AA15" i="64"/>
  <c r="L110" i="64" l="1"/>
  <c r="J110" i="64"/>
  <c r="M110" i="64"/>
  <c r="N110" i="64"/>
  <c r="U110" i="64"/>
  <c r="W110" i="64"/>
  <c r="Y110" i="64"/>
  <c r="E106" i="61" l="1"/>
  <c r="E105" i="61"/>
  <c r="E103" i="61"/>
  <c r="M94" i="61"/>
  <c r="L94" i="61"/>
  <c r="K94" i="61"/>
  <c r="H94" i="61"/>
  <c r="G94" i="61"/>
  <c r="E94" i="61"/>
  <c r="I86" i="61"/>
  <c r="I94" i="61" s="1"/>
  <c r="F36" i="60"/>
  <c r="F37" i="60" s="1"/>
  <c r="F38" i="60" s="1"/>
  <c r="F35" i="60"/>
  <c r="D147" i="64" l="1"/>
  <c r="F171" i="64" l="1"/>
  <c r="W23" i="64" l="1"/>
  <c r="W24" i="64"/>
  <c r="W25" i="64"/>
  <c r="W22" i="64"/>
  <c r="S27" i="64"/>
  <c r="S28" i="64"/>
  <c r="S29" i="64"/>
  <c r="S30" i="64"/>
  <c r="S31" i="64"/>
  <c r="S32" i="64"/>
  <c r="S33" i="64"/>
  <c r="S26" i="64"/>
  <c r="J39" i="64"/>
  <c r="J40" i="64"/>
  <c r="J41" i="64"/>
  <c r="J42" i="64"/>
  <c r="J38" i="64"/>
  <c r="J17" i="64"/>
  <c r="J18" i="64"/>
  <c r="J16" i="64"/>
  <c r="F198" i="64"/>
  <c r="F197" i="64"/>
  <c r="AJ115" i="64"/>
  <c r="I142" i="64" s="1"/>
  <c r="F141" i="64"/>
  <c r="D148" i="64"/>
  <c r="D146" i="64"/>
  <c r="D121" i="64"/>
  <c r="AJ121" i="64" s="1"/>
  <c r="AK121" i="64" s="1"/>
  <c r="D126" i="64"/>
  <c r="F126" i="64" s="1"/>
  <c r="H126" i="64" s="1"/>
  <c r="J126" i="64" s="1"/>
  <c r="L126" i="64" s="1"/>
  <c r="N126" i="64" s="1"/>
  <c r="P126" i="64" s="1"/>
  <c r="R126" i="64" s="1"/>
  <c r="T126" i="64" s="1"/>
  <c r="V126" i="64" s="1"/>
  <c r="X126" i="64" s="1"/>
  <c r="Z126" i="64" s="1"/>
  <c r="AB126" i="64" s="1"/>
  <c r="AD126" i="64" s="1"/>
  <c r="AF126" i="64" s="1"/>
  <c r="AH126" i="64" s="1"/>
  <c r="AJ126" i="64" s="1"/>
  <c r="D128" i="64"/>
  <c r="D90" i="64"/>
  <c r="F90" i="64" s="1"/>
  <c r="D91" i="64"/>
  <c r="D92" i="64"/>
  <c r="D93" i="64"/>
  <c r="D95" i="64"/>
  <c r="F95" i="64" s="1"/>
  <c r="M95" i="64" s="1"/>
  <c r="D96" i="64"/>
  <c r="M96" i="64" s="1"/>
  <c r="D81" i="64"/>
  <c r="F81" i="64" s="1"/>
  <c r="AJ81" i="64" s="1"/>
  <c r="AK81" i="64" s="1"/>
  <c r="D68" i="64"/>
  <c r="Q68" i="64" s="1"/>
  <c r="D69" i="64"/>
  <c r="D71" i="64"/>
  <c r="AC71" i="64" s="1"/>
  <c r="D72" i="64"/>
  <c r="AD72" i="64" s="1"/>
  <c r="AJ72" i="64" s="1"/>
  <c r="D73" i="64"/>
  <c r="D67" i="64"/>
  <c r="X67" i="64" s="1"/>
  <c r="D49" i="64"/>
  <c r="D50" i="64"/>
  <c r="F50" i="64" s="1"/>
  <c r="AJ50" i="64" s="1"/>
  <c r="D51" i="64"/>
  <c r="D52" i="64"/>
  <c r="D53" i="64"/>
  <c r="F53" i="64" s="1"/>
  <c r="D54" i="64"/>
  <c r="F54" i="64" s="1"/>
  <c r="D55" i="64"/>
  <c r="D56" i="64"/>
  <c r="D57" i="64"/>
  <c r="F57" i="64" s="1"/>
  <c r="AJ57" i="64" s="1"/>
  <c r="D59" i="64"/>
  <c r="D60" i="64"/>
  <c r="T60" i="64" s="1"/>
  <c r="D61" i="64"/>
  <c r="F61" i="64" s="1"/>
  <c r="AD61" i="64" s="1"/>
  <c r="AJ61" i="64" s="1"/>
  <c r="D62" i="64"/>
  <c r="D63" i="64"/>
  <c r="D48" i="64"/>
  <c r="F48" i="64" s="1"/>
  <c r="D44" i="64"/>
  <c r="D10" i="64"/>
  <c r="Q179" i="64"/>
  <c r="Q180" i="64" s="1"/>
  <c r="Q181" i="64" s="1"/>
  <c r="P179" i="64"/>
  <c r="P180" i="64" s="1"/>
  <c r="P181" i="64" s="1"/>
  <c r="O179" i="64"/>
  <c r="O180" i="64" s="1"/>
  <c r="O181" i="64" s="1"/>
  <c r="N179" i="64"/>
  <c r="N180" i="64" s="1"/>
  <c r="N181" i="64" s="1"/>
  <c r="M179" i="64"/>
  <c r="M180" i="64" s="1"/>
  <c r="M181" i="64" s="1"/>
  <c r="L179" i="64"/>
  <c r="L180" i="64" s="1"/>
  <c r="L181" i="64" s="1"/>
  <c r="K179" i="64"/>
  <c r="K180" i="64" s="1"/>
  <c r="K181" i="64" s="1"/>
  <c r="J179" i="64"/>
  <c r="J180" i="64" s="1"/>
  <c r="J181" i="64" s="1"/>
  <c r="I179" i="64"/>
  <c r="I180" i="64" s="1"/>
  <c r="I181" i="64" s="1"/>
  <c r="H179" i="64"/>
  <c r="H180" i="64" s="1"/>
  <c r="H181" i="64" s="1"/>
  <c r="G179" i="64"/>
  <c r="G180" i="64" s="1"/>
  <c r="G181" i="64" s="1"/>
  <c r="F179" i="64"/>
  <c r="F180" i="64" s="1"/>
  <c r="F181" i="64" s="1"/>
  <c r="Q166" i="64"/>
  <c r="P166" i="64"/>
  <c r="O166" i="64"/>
  <c r="N166" i="64"/>
  <c r="M166" i="64"/>
  <c r="L166" i="64"/>
  <c r="K166" i="64"/>
  <c r="J166" i="64"/>
  <c r="I166" i="64"/>
  <c r="H166" i="64"/>
  <c r="G166" i="64"/>
  <c r="AJ156" i="64"/>
  <c r="AI156" i="64"/>
  <c r="AH156" i="64"/>
  <c r="AG156" i="64"/>
  <c r="AF156" i="64"/>
  <c r="AE156" i="64"/>
  <c r="AD156" i="64"/>
  <c r="AC156" i="64"/>
  <c r="AB156" i="64"/>
  <c r="AA156" i="64"/>
  <c r="Z156" i="64"/>
  <c r="X156" i="64"/>
  <c r="V156" i="64"/>
  <c r="U156" i="64"/>
  <c r="R156" i="64"/>
  <c r="Q156" i="64"/>
  <c r="P156" i="64"/>
  <c r="M156" i="64"/>
  <c r="L156" i="64"/>
  <c r="I156" i="64"/>
  <c r="H156" i="64"/>
  <c r="G156" i="64"/>
  <c r="H142" i="64"/>
  <c r="G142" i="64"/>
  <c r="F142" i="64"/>
  <c r="H139" i="64"/>
  <c r="H138" i="64"/>
  <c r="H137" i="64"/>
  <c r="F137" i="64"/>
  <c r="I136" i="64"/>
  <c r="H136" i="64"/>
  <c r="G136" i="64"/>
  <c r="X96" i="64"/>
  <c r="U96" i="64"/>
  <c r="AC49" i="64"/>
  <c r="AB49" i="64"/>
  <c r="AA49" i="64"/>
  <c r="Z49" i="64"/>
  <c r="Y49" i="64"/>
  <c r="X49" i="64"/>
  <c r="W49" i="64"/>
  <c r="V49" i="64"/>
  <c r="U49" i="64"/>
  <c r="T49" i="64"/>
  <c r="S49" i="64"/>
  <c r="R49" i="64"/>
  <c r="Q49" i="64"/>
  <c r="P49" i="64"/>
  <c r="O49" i="64"/>
  <c r="N49" i="64"/>
  <c r="M49" i="64"/>
  <c r="L49" i="64"/>
  <c r="K49" i="64"/>
  <c r="O37" i="64"/>
  <c r="O36" i="64"/>
  <c r="O35" i="64"/>
  <c r="O34" i="64"/>
  <c r="O21" i="64"/>
  <c r="O20" i="64"/>
  <c r="O19" i="64"/>
  <c r="C12" i="64"/>
  <c r="G5" i="64"/>
  <c r="H5" i="64" s="1"/>
  <c r="I5" i="64" s="1"/>
  <c r="J5" i="64" s="1"/>
  <c r="K5" i="64" s="1"/>
  <c r="L5" i="64" s="1"/>
  <c r="M5" i="64" s="1"/>
  <c r="N5" i="64" s="1"/>
  <c r="O5" i="64" s="1"/>
  <c r="P5" i="64" s="1"/>
  <c r="Q5" i="64" s="1"/>
  <c r="R5" i="64" s="1"/>
  <c r="S5" i="64" s="1"/>
  <c r="T5" i="64" s="1"/>
  <c r="U5" i="64" s="1"/>
  <c r="V5" i="64" s="1"/>
  <c r="W5" i="64" s="1"/>
  <c r="X5" i="64" s="1"/>
  <c r="Y5" i="64" s="1"/>
  <c r="Z5" i="64" s="1"/>
  <c r="AA5" i="64" s="1"/>
  <c r="AB5" i="64" s="1"/>
  <c r="AC5" i="64" s="1"/>
  <c r="AD5" i="64" s="1"/>
  <c r="B4" i="64"/>
  <c r="J44" i="64" l="1"/>
  <c r="AE147" i="64"/>
  <c r="G157" i="64"/>
  <c r="G158" i="64" s="1"/>
  <c r="E148" i="64"/>
  <c r="W156" i="64"/>
  <c r="W157" i="64" s="1"/>
  <c r="S156" i="64"/>
  <c r="S157" i="64" s="1"/>
  <c r="I157" i="64"/>
  <c r="Y67" i="64"/>
  <c r="H157" i="64"/>
  <c r="AG148" i="64"/>
  <c r="G164" i="64"/>
  <c r="G165" i="64" s="1"/>
  <c r="G167" i="64" s="1"/>
  <c r="H164" i="64"/>
  <c r="I164" i="64"/>
  <c r="AC44" i="64"/>
  <c r="AD44" i="64"/>
  <c r="N156" i="64"/>
  <c r="N164" i="64" s="1"/>
  <c r="J156" i="64"/>
  <c r="J157" i="64" s="1"/>
  <c r="P67" i="64"/>
  <c r="AJ146" i="64"/>
  <c r="AG147" i="64"/>
  <c r="K71" i="64"/>
  <c r="Y71" i="64"/>
  <c r="L71" i="64"/>
  <c r="AA71" i="64"/>
  <c r="Q71" i="64"/>
  <c r="M71" i="64"/>
  <c r="R71" i="64"/>
  <c r="AB71" i="64"/>
  <c r="T71" i="64"/>
  <c r="G71" i="64"/>
  <c r="U71" i="64"/>
  <c r="J71" i="64"/>
  <c r="W71" i="64"/>
  <c r="AB60" i="64"/>
  <c r="I60" i="64"/>
  <c r="L60" i="64"/>
  <c r="AE148" i="64"/>
  <c r="Y60" i="64"/>
  <c r="Z60" i="64"/>
  <c r="AA60" i="64"/>
  <c r="K156" i="64"/>
  <c r="K157" i="64" s="1"/>
  <c r="Z67" i="64"/>
  <c r="B5" i="64"/>
  <c r="AB67" i="64"/>
  <c r="N44" i="64"/>
  <c r="R44" i="64"/>
  <c r="T44" i="64"/>
  <c r="L67" i="64"/>
  <c r="O67" i="64"/>
  <c r="AK115" i="64"/>
  <c r="Q67" i="64"/>
  <c r="W68" i="64"/>
  <c r="O71" i="64"/>
  <c r="Z71" i="64"/>
  <c r="R67" i="64"/>
  <c r="T67" i="64"/>
  <c r="N96" i="64"/>
  <c r="G67" i="64"/>
  <c r="H67" i="64"/>
  <c r="I67" i="64"/>
  <c r="W67" i="64"/>
  <c r="I71" i="64"/>
  <c r="S71" i="64"/>
  <c r="P96" i="64"/>
  <c r="J67" i="64"/>
  <c r="S96" i="64"/>
  <c r="E146" i="64"/>
  <c r="AJ148" i="64"/>
  <c r="E147" i="64"/>
  <c r="F91" i="64"/>
  <c r="V96" i="64"/>
  <c r="L68" i="64"/>
  <c r="AK72" i="64"/>
  <c r="K60" i="64"/>
  <c r="N60" i="64"/>
  <c r="G53" i="64"/>
  <c r="AJ53" i="64" s="1"/>
  <c r="AK53" i="64" s="1"/>
  <c r="R60" i="64"/>
  <c r="AE5" i="64"/>
  <c r="AF5" i="64" s="1"/>
  <c r="AG5" i="64" s="1"/>
  <c r="AH5" i="64" s="1"/>
  <c r="AI5" i="64" s="1"/>
  <c r="AJ5" i="64" s="1"/>
  <c r="B6" i="64"/>
  <c r="F55" i="64"/>
  <c r="AJ55" i="64" s="1"/>
  <c r="F62" i="64"/>
  <c r="AA68" i="64"/>
  <c r="S68" i="64"/>
  <c r="K68" i="64"/>
  <c r="Z68" i="64"/>
  <c r="R68" i="64"/>
  <c r="J68" i="64"/>
  <c r="X68" i="64"/>
  <c r="P68" i="64"/>
  <c r="H68" i="64"/>
  <c r="T68" i="64"/>
  <c r="AD73" i="64"/>
  <c r="AJ73" i="64" s="1"/>
  <c r="AJ90" i="64"/>
  <c r="AK90" i="64" s="1"/>
  <c r="T156" i="64"/>
  <c r="F51" i="64"/>
  <c r="G68" i="64"/>
  <c r="U68" i="64"/>
  <c r="F10" i="64"/>
  <c r="O156" i="64"/>
  <c r="F56" i="64"/>
  <c r="AJ56" i="64" s="1"/>
  <c r="F59" i="64"/>
  <c r="AJ59" i="64" s="1"/>
  <c r="Q60" i="64"/>
  <c r="I68" i="64"/>
  <c r="V68" i="64"/>
  <c r="AD95" i="64"/>
  <c r="G54" i="64"/>
  <c r="AJ54" i="64" s="1"/>
  <c r="AK54" i="64" s="1"/>
  <c r="AK57" i="64"/>
  <c r="X60" i="64"/>
  <c r="P60" i="64"/>
  <c r="H60" i="64"/>
  <c r="W60" i="64"/>
  <c r="O60" i="64"/>
  <c r="G60" i="64"/>
  <c r="AC60" i="64"/>
  <c r="U60" i="64"/>
  <c r="M60" i="64"/>
  <c r="S60" i="64"/>
  <c r="AK61" i="64"/>
  <c r="F63" i="64"/>
  <c r="AJ63" i="64" s="1"/>
  <c r="M68" i="64"/>
  <c r="Y68" i="64"/>
  <c r="B7" i="64"/>
  <c r="Y156" i="64"/>
  <c r="AJ48" i="64"/>
  <c r="AK48" i="64" s="1"/>
  <c r="F52" i="64"/>
  <c r="R52" i="64" s="1"/>
  <c r="N68" i="64"/>
  <c r="AB68" i="64"/>
  <c r="AC157" i="64"/>
  <c r="M157" i="64"/>
  <c r="U157" i="64"/>
  <c r="R157" i="64"/>
  <c r="AG164" i="64"/>
  <c r="Z157" i="64"/>
  <c r="Q164" i="64"/>
  <c r="F49" i="64"/>
  <c r="H49" i="64" s="1"/>
  <c r="AK50" i="64"/>
  <c r="J60" i="64"/>
  <c r="V60" i="64"/>
  <c r="O68" i="64"/>
  <c r="AC68" i="64"/>
  <c r="G92" i="64"/>
  <c r="H92" i="64" s="1"/>
  <c r="I92" i="64" s="1"/>
  <c r="J92" i="64" s="1"/>
  <c r="K92" i="64" s="1"/>
  <c r="L92" i="64" s="1"/>
  <c r="M92" i="64" s="1"/>
  <c r="N92" i="64" s="1"/>
  <c r="O92" i="64" s="1"/>
  <c r="P92" i="64" s="1"/>
  <c r="Q92" i="64" s="1"/>
  <c r="R92" i="64" s="1"/>
  <c r="S92" i="64" s="1"/>
  <c r="T92" i="64" s="1"/>
  <c r="U92" i="64" s="1"/>
  <c r="V92" i="64" s="1"/>
  <c r="W92" i="64" s="1"/>
  <c r="X92" i="64" s="1"/>
  <c r="Y92" i="64" s="1"/>
  <c r="Z92" i="64" s="1"/>
  <c r="AA92" i="64" s="1"/>
  <c r="AB92" i="64" s="1"/>
  <c r="AC92" i="64" s="1"/>
  <c r="AD92" i="64" s="1"/>
  <c r="K67" i="64"/>
  <c r="S67" i="64"/>
  <c r="AA67" i="64"/>
  <c r="N71" i="64"/>
  <c r="V71" i="64"/>
  <c r="F93" i="64"/>
  <c r="R96" i="64"/>
  <c r="Q96" i="64"/>
  <c r="W96" i="64"/>
  <c r="O96" i="64"/>
  <c r="T96" i="64"/>
  <c r="F96" i="64"/>
  <c r="AB157" i="64"/>
  <c r="AB164" i="64"/>
  <c r="AJ164" i="64"/>
  <c r="L157" i="64"/>
  <c r="L164" i="64"/>
  <c r="M44" i="64"/>
  <c r="M67" i="64"/>
  <c r="U67" i="64"/>
  <c r="AC67" i="64"/>
  <c r="F69" i="64"/>
  <c r="H71" i="64"/>
  <c r="P71" i="64"/>
  <c r="X71" i="64"/>
  <c r="AD164" i="64"/>
  <c r="N67" i="64"/>
  <c r="V67" i="64"/>
  <c r="AE164" i="64"/>
  <c r="AK126" i="64"/>
  <c r="P157" i="64"/>
  <c r="X157" i="64"/>
  <c r="AF164" i="64"/>
  <c r="Q157" i="64"/>
  <c r="R164" i="64"/>
  <c r="Z164" i="64"/>
  <c r="AH164" i="64"/>
  <c r="AJ147" i="64"/>
  <c r="AA157" i="64"/>
  <c r="AI164" i="64"/>
  <c r="AE146" i="64"/>
  <c r="M164" i="64"/>
  <c r="U164" i="64"/>
  <c r="AC164" i="64"/>
  <c r="AI147" i="64"/>
  <c r="AI146" i="64"/>
  <c r="AH147" i="64"/>
  <c r="AH146" i="64"/>
  <c r="AF147" i="64"/>
  <c r="AF146" i="64"/>
  <c r="AG146" i="64"/>
  <c r="V157" i="64"/>
  <c r="AD157" i="64"/>
  <c r="V164" i="64"/>
  <c r="AF148" i="64"/>
  <c r="P164" i="64"/>
  <c r="X164" i="64"/>
  <c r="AH148" i="64"/>
  <c r="AI148" i="64"/>
  <c r="AA164" i="64"/>
  <c r="S164" i="64" l="1"/>
  <c r="AK63" i="64"/>
  <c r="G171" i="64"/>
  <c r="W164" i="64"/>
  <c r="H158" i="64"/>
  <c r="I158" i="64" s="1"/>
  <c r="J164" i="64"/>
  <c r="H165" i="64"/>
  <c r="G197" i="64"/>
  <c r="N157" i="64"/>
  <c r="K164" i="64"/>
  <c r="AK44" i="64"/>
  <c r="AD71" i="64"/>
  <c r="AJ71" i="64" s="1"/>
  <c r="AK71" i="64" s="1"/>
  <c r="AD67" i="64"/>
  <c r="G91" i="64"/>
  <c r="L91" i="64" s="1"/>
  <c r="AD96" i="64"/>
  <c r="AJ96" i="64" s="1"/>
  <c r="AK96" i="64" s="1"/>
  <c r="AK92" i="64"/>
  <c r="AK73" i="64"/>
  <c r="G49" i="64"/>
  <c r="AJ44" i="64"/>
  <c r="AJ52" i="64"/>
  <c r="AK52" i="64" s="1"/>
  <c r="O164" i="64"/>
  <c r="O157" i="64"/>
  <c r="AK59" i="64"/>
  <c r="G62" i="64"/>
  <c r="AD93" i="64"/>
  <c r="AK55" i="64"/>
  <c r="R51" i="64"/>
  <c r="AJ51" i="64" s="1"/>
  <c r="I49" i="64"/>
  <c r="AJ95" i="64"/>
  <c r="AK95" i="64" s="1"/>
  <c r="AK10" i="64"/>
  <c r="J49" i="64"/>
  <c r="Y157" i="64"/>
  <c r="Y164" i="64"/>
  <c r="AD60" i="64"/>
  <c r="AJ60" i="64" s="1"/>
  <c r="AK56" i="64"/>
  <c r="AJ69" i="64"/>
  <c r="AK69" i="64" s="1"/>
  <c r="T164" i="64"/>
  <c r="T157" i="64"/>
  <c r="B156" i="64"/>
  <c r="AD68" i="64"/>
  <c r="H197" i="64" l="1"/>
  <c r="H171" i="64"/>
  <c r="AJ67" i="64"/>
  <c r="AK67" i="64" s="1"/>
  <c r="I165" i="64"/>
  <c r="I171" i="64" s="1"/>
  <c r="H167" i="64"/>
  <c r="P91" i="64"/>
  <c r="AJ93" i="64"/>
  <c r="AD49" i="64"/>
  <c r="G138" i="64" s="1"/>
  <c r="AJ62" i="64"/>
  <c r="AK62" i="64" s="1"/>
  <c r="AK60" i="64"/>
  <c r="AK51" i="64"/>
  <c r="AJ68" i="64"/>
  <c r="AK68" i="64" s="1"/>
  <c r="J158" i="64"/>
  <c r="AK93" i="64" l="1"/>
  <c r="U91" i="64"/>
  <c r="J165" i="64"/>
  <c r="J171" i="64" s="1"/>
  <c r="I167" i="64"/>
  <c r="I197" i="64"/>
  <c r="AJ49" i="64"/>
  <c r="AK49" i="64" s="1"/>
  <c r="K158" i="64"/>
  <c r="W91" i="64" l="1"/>
  <c r="AK91" i="64" s="1"/>
  <c r="J197" i="64"/>
  <c r="J167" i="64"/>
  <c r="K165" i="64"/>
  <c r="K171" i="64" s="1"/>
  <c r="L158" i="64"/>
  <c r="L165" i="64" l="1"/>
  <c r="L171" i="64" s="1"/>
  <c r="K167" i="64"/>
  <c r="K197" i="64"/>
  <c r="M158" i="64"/>
  <c r="L167" i="64" l="1"/>
  <c r="M165" i="64"/>
  <c r="M171" i="64" s="1"/>
  <c r="L197" i="64"/>
  <c r="N158" i="64"/>
  <c r="M167" i="64" l="1"/>
  <c r="N165" i="64"/>
  <c r="N171" i="64" s="1"/>
  <c r="M197" i="64"/>
  <c r="O158" i="64"/>
  <c r="N167" i="64" l="1"/>
  <c r="O165" i="64"/>
  <c r="O171" i="64" s="1"/>
  <c r="N197" i="64"/>
  <c r="P158" i="64"/>
  <c r="O167" i="64" l="1"/>
  <c r="P165" i="64"/>
  <c r="P197" i="64" s="1"/>
  <c r="O197" i="64"/>
  <c r="Q158" i="64"/>
  <c r="P171" i="64" l="1"/>
  <c r="P167" i="64"/>
  <c r="Q165" i="64"/>
  <c r="Q171" i="64" s="1"/>
  <c r="R158" i="64"/>
  <c r="Q167" i="64" l="1"/>
  <c r="R165" i="64"/>
  <c r="R171" i="64" s="1"/>
  <c r="Q197" i="64"/>
  <c r="S158" i="64"/>
  <c r="S165" i="64" l="1"/>
  <c r="S171" i="64" s="1"/>
  <c r="R197" i="64"/>
  <c r="T158" i="64"/>
  <c r="T165" i="64" l="1"/>
  <c r="T171" i="64" s="1"/>
  <c r="S197" i="64"/>
  <c r="U158" i="64"/>
  <c r="U165" i="64" l="1"/>
  <c r="T197" i="64"/>
  <c r="V158" i="64"/>
  <c r="V165" i="64" l="1"/>
  <c r="V171" i="64" s="1"/>
  <c r="U171" i="64"/>
  <c r="U197" i="64"/>
  <c r="W158" i="64"/>
  <c r="W165" i="64" l="1"/>
  <c r="W171" i="64" s="1"/>
  <c r="V197" i="64"/>
  <c r="X158" i="64"/>
  <c r="X165" i="64" l="1"/>
  <c r="X171" i="64" s="1"/>
  <c r="W197" i="64"/>
  <c r="Y158" i="64"/>
  <c r="Y165" i="64" l="1"/>
  <c r="Y171" i="64" s="1"/>
  <c r="X197" i="64"/>
  <c r="Z158" i="64"/>
  <c r="Z165" i="64" l="1"/>
  <c r="Z171" i="64" s="1"/>
  <c r="Y197" i="64"/>
  <c r="AA158" i="64"/>
  <c r="AA165" i="64" l="1"/>
  <c r="AA171" i="64" s="1"/>
  <c r="Z197" i="64"/>
  <c r="AB158" i="64"/>
  <c r="AB165" i="64" l="1"/>
  <c r="AB171" i="64" s="1"/>
  <c r="AA197" i="64"/>
  <c r="AC158" i="64"/>
  <c r="AC165" i="64" l="1"/>
  <c r="AC171" i="64" s="1"/>
  <c r="AB197" i="64"/>
  <c r="AD158" i="64"/>
  <c r="AD165" i="64" l="1"/>
  <c r="AD171" i="64" s="1"/>
  <c r="AC197" i="64"/>
  <c r="AE158" i="64"/>
  <c r="AE165" i="64" l="1"/>
  <c r="AE171" i="64" s="1"/>
  <c r="AD197" i="64"/>
  <c r="AF158" i="64"/>
  <c r="AF165" i="64" l="1"/>
  <c r="AF171" i="64" s="1"/>
  <c r="AE197" i="64"/>
  <c r="AG158" i="64"/>
  <c r="AG165" i="64" l="1"/>
  <c r="AG197" i="64" s="1"/>
  <c r="AF197" i="64"/>
  <c r="AH158" i="64"/>
  <c r="AG171" i="64" l="1"/>
  <c r="AH165" i="64"/>
  <c r="AH171" i="64" s="1"/>
  <c r="AI158" i="64"/>
  <c r="AI165" i="64" l="1"/>
  <c r="AI171" i="64" s="1"/>
  <c r="AH197" i="64"/>
  <c r="AJ158" i="64"/>
  <c r="AJ165" i="64" l="1"/>
  <c r="AJ171" i="64" s="1"/>
  <c r="AI197" i="64"/>
  <c r="AJ197" i="64" l="1"/>
  <c r="A2" i="61" l="1"/>
  <c r="A3" i="61"/>
  <c r="A1" i="61"/>
  <c r="H11" i="61"/>
  <c r="D15" i="64" s="1"/>
  <c r="O7" i="63"/>
  <c r="P11" i="63" s="1"/>
  <c r="P15" i="63" s="1"/>
  <c r="B3" i="63"/>
  <c r="B4" i="63"/>
  <c r="B2" i="63"/>
  <c r="O39" i="63"/>
  <c r="N39" i="63"/>
  <c r="M39" i="63"/>
  <c r="C39" i="63"/>
  <c r="E38" i="63"/>
  <c r="E37" i="63"/>
  <c r="E36" i="63"/>
  <c r="E35" i="63"/>
  <c r="E34" i="63"/>
  <c r="E33" i="63"/>
  <c r="E32" i="63"/>
  <c r="E31" i="63"/>
  <c r="E30" i="63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U10" i="63"/>
  <c r="T10" i="63"/>
  <c r="S10" i="63"/>
  <c r="D89" i="62"/>
  <c r="D90" i="62"/>
  <c r="D91" i="62"/>
  <c r="D92" i="62"/>
  <c r="D79" i="62"/>
  <c r="D57" i="62"/>
  <c r="D58" i="62"/>
  <c r="D59" i="62"/>
  <c r="D60" i="62"/>
  <c r="D62" i="62"/>
  <c r="D63" i="62"/>
  <c r="D66" i="62"/>
  <c r="D48" i="62"/>
  <c r="D36" i="62"/>
  <c r="D37" i="62"/>
  <c r="D39" i="62"/>
  <c r="D40" i="62"/>
  <c r="D41" i="62"/>
  <c r="D35" i="62"/>
  <c r="D17" i="62"/>
  <c r="D18" i="62"/>
  <c r="D19" i="62"/>
  <c r="D20" i="62"/>
  <c r="D21" i="62"/>
  <c r="D22" i="62"/>
  <c r="E22" i="62" s="1"/>
  <c r="L22" i="62" s="1"/>
  <c r="D23" i="62"/>
  <c r="D24" i="62"/>
  <c r="D25" i="62"/>
  <c r="D27" i="62"/>
  <c r="D28" i="62"/>
  <c r="D29" i="62"/>
  <c r="D30" i="62"/>
  <c r="L30" i="62" s="1"/>
  <c r="D31" i="62"/>
  <c r="D16" i="62"/>
  <c r="D12" i="62"/>
  <c r="L12" i="62" s="1"/>
  <c r="D11" i="62"/>
  <c r="D7" i="62"/>
  <c r="A2" i="62"/>
  <c r="A3" i="62"/>
  <c r="A1" i="62"/>
  <c r="I60" i="62"/>
  <c r="D101" i="61"/>
  <c r="D103" i="61"/>
  <c r="G103" i="61" s="1"/>
  <c r="D106" i="61"/>
  <c r="G106" i="61" s="1"/>
  <c r="D108" i="61"/>
  <c r="G108" i="61" s="1"/>
  <c r="D79" i="61"/>
  <c r="D57" i="61"/>
  <c r="E57" i="61" s="1"/>
  <c r="N57" i="61" s="1"/>
  <c r="D58" i="61"/>
  <c r="D59" i="61"/>
  <c r="E59" i="61" s="1"/>
  <c r="D60" i="61"/>
  <c r="D62" i="61"/>
  <c r="N62" i="61" s="1"/>
  <c r="D63" i="61"/>
  <c r="D66" i="61"/>
  <c r="D48" i="61"/>
  <c r="D36" i="61"/>
  <c r="D37" i="61"/>
  <c r="N37" i="61" s="1"/>
  <c r="D39" i="61"/>
  <c r="N39" i="61" s="1"/>
  <c r="D40" i="61"/>
  <c r="N40" i="61" s="1"/>
  <c r="D41" i="61"/>
  <c r="N41" i="61" s="1"/>
  <c r="D35" i="61"/>
  <c r="D17" i="61"/>
  <c r="D18" i="61"/>
  <c r="N18" i="61" s="1"/>
  <c r="D19" i="61"/>
  <c r="D20" i="61"/>
  <c r="D21" i="61"/>
  <c r="D22" i="61"/>
  <c r="D23" i="61"/>
  <c r="N23" i="61" s="1"/>
  <c r="D24" i="61"/>
  <c r="N24" i="61" s="1"/>
  <c r="D25" i="61"/>
  <c r="D27" i="61"/>
  <c r="D28" i="61"/>
  <c r="D29" i="61"/>
  <c r="N29" i="61" s="1"/>
  <c r="D30" i="61"/>
  <c r="N30" i="61" s="1"/>
  <c r="D31" i="61"/>
  <c r="N31" i="61" s="1"/>
  <c r="D16" i="61"/>
  <c r="N16" i="61" s="1"/>
  <c r="D12" i="61"/>
  <c r="E12" i="61" s="1"/>
  <c r="D11" i="61"/>
  <c r="D7" i="61"/>
  <c r="G7" i="61" s="1"/>
  <c r="G81" i="61" s="1"/>
  <c r="N21" i="61"/>
  <c r="N63" i="61"/>
  <c r="N58" i="61" l="1"/>
  <c r="E58" i="61"/>
  <c r="E28" i="62"/>
  <c r="L28" i="62" s="1"/>
  <c r="E19" i="62"/>
  <c r="L19" i="62" s="1"/>
  <c r="I36" i="62"/>
  <c r="L36" i="62"/>
  <c r="I57" i="62"/>
  <c r="L57" i="62" s="1"/>
  <c r="L27" i="62"/>
  <c r="E18" i="62"/>
  <c r="L18" i="62" s="1"/>
  <c r="L48" i="62"/>
  <c r="E17" i="62"/>
  <c r="L17" i="62" s="1"/>
  <c r="E24" i="62"/>
  <c r="L24" i="62" s="1"/>
  <c r="I35" i="62"/>
  <c r="L35" i="62"/>
  <c r="E25" i="62"/>
  <c r="L25" i="62" s="1"/>
  <c r="I66" i="62"/>
  <c r="L66" i="62" s="1"/>
  <c r="E16" i="62"/>
  <c r="L16" i="62" s="1"/>
  <c r="E23" i="62"/>
  <c r="L23" i="62" s="1"/>
  <c r="L31" i="62"/>
  <c r="I40" i="62"/>
  <c r="L40" i="62" s="1"/>
  <c r="L60" i="62"/>
  <c r="E21" i="62"/>
  <c r="L21" i="62" s="1"/>
  <c r="I59" i="62"/>
  <c r="L59" i="62" s="1"/>
  <c r="E29" i="62"/>
  <c r="L29" i="62" s="1"/>
  <c r="E20" i="62"/>
  <c r="L20" i="62" s="1"/>
  <c r="I37" i="62"/>
  <c r="L37" i="62"/>
  <c r="I58" i="62"/>
  <c r="L58" i="62" s="1"/>
  <c r="I41" i="62"/>
  <c r="L41" i="62" s="1"/>
  <c r="I11" i="62"/>
  <c r="L11" i="62" s="1"/>
  <c r="D13" i="62"/>
  <c r="I39" i="62"/>
  <c r="L39" i="62" s="1"/>
  <c r="AA7" i="64"/>
  <c r="Q15" i="64"/>
  <c r="Q7" i="64" s="1"/>
  <c r="M15" i="64"/>
  <c r="M7" i="64" s="1"/>
  <c r="J15" i="64"/>
  <c r="J7" i="64" s="1"/>
  <c r="O15" i="64"/>
  <c r="O7" i="64" s="1"/>
  <c r="R15" i="64"/>
  <c r="R7" i="64" s="1"/>
  <c r="AC7" i="64"/>
  <c r="U15" i="64"/>
  <c r="U7" i="64" s="1"/>
  <c r="W15" i="64"/>
  <c r="W7" i="64" s="1"/>
  <c r="K15" i="64"/>
  <c r="K7" i="64" s="1"/>
  <c r="AD7" i="64"/>
  <c r="I15" i="64"/>
  <c r="I7" i="64" s="1"/>
  <c r="S15" i="64"/>
  <c r="S7" i="64" s="1"/>
  <c r="V15" i="64"/>
  <c r="V7" i="64" s="1"/>
  <c r="P15" i="64"/>
  <c r="P7" i="64" s="1"/>
  <c r="T15" i="64"/>
  <c r="T7" i="64" s="1"/>
  <c r="G15" i="64"/>
  <c r="N15" i="64"/>
  <c r="N7" i="64" s="1"/>
  <c r="L15" i="64"/>
  <c r="L7" i="64" s="1"/>
  <c r="H15" i="64"/>
  <c r="H7" i="64" s="1"/>
  <c r="Z7" i="64"/>
  <c r="Y7" i="64"/>
  <c r="X7" i="64"/>
  <c r="D13" i="61"/>
  <c r="N48" i="61"/>
  <c r="N59" i="61"/>
  <c r="E11" i="61"/>
  <c r="P31" i="63"/>
  <c r="P29" i="63"/>
  <c r="P22" i="63"/>
  <c r="P14" i="63"/>
  <c r="P38" i="63"/>
  <c r="P30" i="63"/>
  <c r="P21" i="63"/>
  <c r="P13" i="63"/>
  <c r="P7" i="63"/>
  <c r="P37" i="63"/>
  <c r="P12" i="63"/>
  <c r="P20" i="63"/>
  <c r="P28" i="63"/>
  <c r="P36" i="63"/>
  <c r="P18" i="63"/>
  <c r="P26" i="63"/>
  <c r="P34" i="63"/>
  <c r="P19" i="63"/>
  <c r="P27" i="63"/>
  <c r="P17" i="63"/>
  <c r="P25" i="63"/>
  <c r="P33" i="63"/>
  <c r="P16" i="63"/>
  <c r="P24" i="63"/>
  <c r="P32" i="63"/>
  <c r="P35" i="63"/>
  <c r="P23" i="63"/>
  <c r="I63" i="62"/>
  <c r="L63" i="62" s="1"/>
  <c r="I62" i="62"/>
  <c r="L62" i="62" s="1"/>
  <c r="F7" i="62"/>
  <c r="F81" i="62" s="1"/>
  <c r="N22" i="61"/>
  <c r="N25" i="61"/>
  <c r="N7" i="61"/>
  <c r="N36" i="61"/>
  <c r="N28" i="61"/>
  <c r="N20" i="61"/>
  <c r="N12" i="61"/>
  <c r="N17" i="61"/>
  <c r="N60" i="61"/>
  <c r="N35" i="61"/>
  <c r="N27" i="61"/>
  <c r="N19" i="61"/>
  <c r="L7" i="62" l="1"/>
  <c r="X146" i="64"/>
  <c r="X148" i="64"/>
  <c r="X147" i="64"/>
  <c r="G7" i="64"/>
  <c r="W147" i="64"/>
  <c r="W146" i="64"/>
  <c r="W148" i="64"/>
  <c r="AA146" i="64"/>
  <c r="AA148" i="64"/>
  <c r="AA147" i="64"/>
  <c r="Y147" i="64"/>
  <c r="Y148" i="64"/>
  <c r="Y146" i="64"/>
  <c r="T146" i="64"/>
  <c r="T148" i="64"/>
  <c r="T147" i="64"/>
  <c r="U147" i="64"/>
  <c r="U146" i="64"/>
  <c r="U148" i="64"/>
  <c r="P146" i="64"/>
  <c r="P147" i="64"/>
  <c r="P148" i="64"/>
  <c r="AC147" i="64"/>
  <c r="AC146" i="64"/>
  <c r="AC148" i="64"/>
  <c r="AB15" i="64"/>
  <c r="AB7" i="64" s="1"/>
  <c r="V148" i="64"/>
  <c r="V146" i="64"/>
  <c r="V147" i="64"/>
  <c r="R146" i="64"/>
  <c r="R147" i="64"/>
  <c r="R148" i="64"/>
  <c r="S146" i="64"/>
  <c r="S147" i="64"/>
  <c r="S148" i="64"/>
  <c r="O148" i="64"/>
  <c r="O146" i="64"/>
  <c r="O147" i="64"/>
  <c r="H147" i="64"/>
  <c r="H148" i="64"/>
  <c r="H146" i="64"/>
  <c r="I146" i="64"/>
  <c r="I147" i="64"/>
  <c r="I148" i="64"/>
  <c r="J146" i="64"/>
  <c r="J148" i="64"/>
  <c r="J147" i="64"/>
  <c r="L148" i="64"/>
  <c r="L146" i="64"/>
  <c r="L147" i="64"/>
  <c r="AD147" i="64"/>
  <c r="AD146" i="64"/>
  <c r="AD148" i="64"/>
  <c r="M146" i="64"/>
  <c r="M148" i="64"/>
  <c r="M147" i="64"/>
  <c r="Z148" i="64"/>
  <c r="Z146" i="64"/>
  <c r="Z147" i="64"/>
  <c r="N146" i="64"/>
  <c r="N148" i="64"/>
  <c r="N147" i="64"/>
  <c r="K146" i="64"/>
  <c r="K147" i="64"/>
  <c r="K148" i="64"/>
  <c r="Q148" i="64"/>
  <c r="Q146" i="64"/>
  <c r="Q147" i="64"/>
  <c r="N11" i="61"/>
  <c r="D14" i="64"/>
  <c r="P39" i="63"/>
  <c r="AK15" i="64" l="1"/>
  <c r="AJ15" i="64"/>
  <c r="G148" i="64"/>
  <c r="G153" i="64" s="1"/>
  <c r="H151" i="64" s="1"/>
  <c r="H153" i="64" s="1"/>
  <c r="I151" i="64" s="1"/>
  <c r="I153" i="64" s="1"/>
  <c r="G147" i="64"/>
  <c r="G6" i="64"/>
  <c r="H6" i="64" s="1"/>
  <c r="I6" i="64" s="1"/>
  <c r="J6" i="64" s="1"/>
  <c r="K6" i="64" s="1"/>
  <c r="L6" i="64" s="1"/>
  <c r="M6" i="64" s="1"/>
  <c r="N6" i="64" s="1"/>
  <c r="O6" i="64" s="1"/>
  <c r="P6" i="64" s="1"/>
  <c r="Q6" i="64" s="1"/>
  <c r="R6" i="64" s="1"/>
  <c r="S6" i="64" s="1"/>
  <c r="T6" i="64" s="1"/>
  <c r="U6" i="64" s="1"/>
  <c r="V6" i="64" s="1"/>
  <c r="W6" i="64" s="1"/>
  <c r="X6" i="64" s="1"/>
  <c r="Y6" i="64" s="1"/>
  <c r="Z6" i="64" s="1"/>
  <c r="AA6" i="64" s="1"/>
  <c r="AB6" i="64" s="1"/>
  <c r="AC6" i="64" s="1"/>
  <c r="AD6" i="64" s="1"/>
  <c r="G146" i="64"/>
  <c r="AB147" i="64"/>
  <c r="AB146" i="64"/>
  <c r="AB148" i="64"/>
  <c r="V14" i="64"/>
  <c r="O14" i="64"/>
  <c r="U14" i="64"/>
  <c r="N14" i="64"/>
  <c r="M14" i="64"/>
  <c r="J14" i="64"/>
  <c r="T14" i="64"/>
  <c r="G14" i="64"/>
  <c r="I14" i="64"/>
  <c r="W14" i="64"/>
  <c r="L14" i="64"/>
  <c r="R14" i="64"/>
  <c r="P14" i="64"/>
  <c r="S14" i="64"/>
  <c r="H14" i="64"/>
  <c r="K14" i="64"/>
  <c r="Q14" i="64"/>
  <c r="D45" i="64"/>
  <c r="B3" i="60"/>
  <c r="B2" i="60"/>
  <c r="B1" i="60"/>
  <c r="G67" i="60"/>
  <c r="H10" i="60" s="1"/>
  <c r="G66" i="60"/>
  <c r="H9" i="60" s="1"/>
  <c r="G13" i="60"/>
  <c r="G12" i="60"/>
  <c r="G11" i="60"/>
  <c r="G9" i="60"/>
  <c r="M9" i="60" s="1"/>
  <c r="G71" i="60"/>
  <c r="H14" i="60" s="1"/>
  <c r="G70" i="60"/>
  <c r="H13" i="60" s="1"/>
  <c r="G69" i="60"/>
  <c r="H12" i="60" s="1"/>
  <c r="G68" i="60"/>
  <c r="H11" i="60" s="1"/>
  <c r="F13" i="60"/>
  <c r="F12" i="60"/>
  <c r="F11" i="60"/>
  <c r="F10" i="60"/>
  <c r="F9" i="60"/>
  <c r="E14" i="60"/>
  <c r="F14" i="60" s="1"/>
  <c r="I137" i="64" l="1"/>
  <c r="G137" i="64"/>
  <c r="F55" i="60"/>
  <c r="F56" i="60"/>
  <c r="F53" i="60"/>
  <c r="F54" i="60"/>
  <c r="AB14" i="64"/>
  <c r="AJ14" i="64" s="1"/>
  <c r="M11" i="60"/>
  <c r="P10" i="60"/>
  <c r="P13" i="60"/>
  <c r="P11" i="60"/>
  <c r="P12" i="60"/>
  <c r="M10" i="60"/>
  <c r="M13" i="60"/>
  <c r="N13" i="60" s="1"/>
  <c r="M12" i="60"/>
  <c r="J12" i="60"/>
  <c r="P14" i="60"/>
  <c r="J13" i="60"/>
  <c r="K13" i="60" s="1"/>
  <c r="G14" i="60"/>
  <c r="M14" i="60" s="1"/>
  <c r="N14" i="60" s="1"/>
  <c r="N11" i="60"/>
  <c r="J11" i="60"/>
  <c r="N9" i="60"/>
  <c r="J9" i="60"/>
  <c r="J10" i="60"/>
  <c r="J14" i="60"/>
  <c r="K14" i="60" s="1"/>
  <c r="AK14" i="64" l="1"/>
  <c r="N10" i="60"/>
  <c r="N12" i="60"/>
  <c r="K11" i="60"/>
  <c r="K10" i="60"/>
  <c r="K12" i="60"/>
  <c r="K9" i="60"/>
  <c r="C10" i="2"/>
  <c r="D9" i="5"/>
  <c r="D10" i="5"/>
  <c r="C25" i="2" l="1"/>
  <c r="D53" i="5" l="1"/>
  <c r="D80" i="64" l="1"/>
  <c r="D47" i="61"/>
  <c r="D47" i="62"/>
  <c r="E47" i="62" s="1"/>
  <c r="E47" i="61" s="1"/>
  <c r="N47" i="61" l="1"/>
  <c r="L47" i="62"/>
  <c r="U80" i="64"/>
  <c r="L80" i="64"/>
  <c r="AA80" i="64"/>
  <c r="R80" i="64"/>
  <c r="V80" i="64"/>
  <c r="X80" i="64"/>
  <c r="Y80" i="64"/>
  <c r="O80" i="64"/>
  <c r="N80" i="64"/>
  <c r="P80" i="64"/>
  <c r="AB80" i="64"/>
  <c r="AD80" i="64"/>
  <c r="G80" i="64"/>
  <c r="S80" i="64"/>
  <c r="AC80" i="64"/>
  <c r="M80" i="64"/>
  <c r="W80" i="64"/>
  <c r="J80" i="64"/>
  <c r="T80" i="64"/>
  <c r="H80" i="64"/>
  <c r="I80" i="64"/>
  <c r="Q80" i="64"/>
  <c r="K80" i="64"/>
  <c r="Z80" i="64"/>
  <c r="E34" i="1"/>
  <c r="AJ80" i="64" l="1"/>
  <c r="AK80" i="64" s="1"/>
  <c r="J96" i="5"/>
  <c r="J95" i="5"/>
  <c r="J94" i="5"/>
  <c r="J93" i="5"/>
  <c r="J92" i="5"/>
  <c r="F74" i="5"/>
  <c r="E67" i="5" l="1"/>
  <c r="A27" i="2" l="1"/>
  <c r="A26" i="2"/>
  <c r="A25" i="2"/>
  <c r="D44" i="5" l="1"/>
  <c r="D70" i="64" l="1"/>
  <c r="D38" i="61"/>
  <c r="D38" i="62"/>
  <c r="C13" i="2"/>
  <c r="I38" i="62" l="1"/>
  <c r="D42" i="62"/>
  <c r="D42" i="61"/>
  <c r="U70" i="64"/>
  <c r="U123" i="64" s="1"/>
  <c r="R70" i="64"/>
  <c r="R123" i="64" s="1"/>
  <c r="Z70" i="64"/>
  <c r="Z123" i="64" s="1"/>
  <c r="AB70" i="64"/>
  <c r="AB123" i="64" s="1"/>
  <c r="J70" i="64"/>
  <c r="D74" i="64"/>
  <c r="O70" i="64"/>
  <c r="O123" i="64" s="1"/>
  <c r="T70" i="64"/>
  <c r="T123" i="64" s="1"/>
  <c r="Y70" i="64"/>
  <c r="Y123" i="64" s="1"/>
  <c r="L70" i="64"/>
  <c r="L123" i="64" s="1"/>
  <c r="Q70" i="64"/>
  <c r="Q123" i="64" s="1"/>
  <c r="AA70" i="64"/>
  <c r="AA123" i="64" s="1"/>
  <c r="I70" i="64"/>
  <c r="H70" i="64"/>
  <c r="M70" i="64"/>
  <c r="M123" i="64" s="1"/>
  <c r="K70" i="64"/>
  <c r="K123" i="64" s="1"/>
  <c r="G70" i="64"/>
  <c r="W70" i="64"/>
  <c r="W123" i="64" s="1"/>
  <c r="N70" i="64"/>
  <c r="N123" i="64" s="1"/>
  <c r="P70" i="64"/>
  <c r="P123" i="64" s="1"/>
  <c r="S70" i="64"/>
  <c r="S123" i="64" s="1"/>
  <c r="V70" i="64"/>
  <c r="V123" i="64" s="1"/>
  <c r="X70" i="64"/>
  <c r="X123" i="64" s="1"/>
  <c r="AC70" i="64"/>
  <c r="AC123" i="64" s="1"/>
  <c r="H32" i="1"/>
  <c r="B9" i="1"/>
  <c r="H33" i="1"/>
  <c r="B10" i="1" s="1"/>
  <c r="H34" i="1"/>
  <c r="B11" i="1" s="1"/>
  <c r="D11" i="1" s="1"/>
  <c r="H35" i="1"/>
  <c r="B12" i="1" s="1"/>
  <c r="H36" i="1"/>
  <c r="B13" i="1"/>
  <c r="H37" i="1"/>
  <c r="B14" i="1" s="1"/>
  <c r="D14" i="1" s="1"/>
  <c r="C11" i="2"/>
  <c r="E31" i="5"/>
  <c r="D40" i="23"/>
  <c r="D28" i="23"/>
  <c r="D29" i="23" s="1"/>
  <c r="F9" i="58"/>
  <c r="F10" i="58" s="1"/>
  <c r="O48" i="58"/>
  <c r="N48" i="58"/>
  <c r="L48" i="58"/>
  <c r="A11" i="58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10" i="58"/>
  <c r="A9" i="58"/>
  <c r="A3" i="58"/>
  <c r="A2" i="58"/>
  <c r="A1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26" i="58"/>
  <c r="B13" i="58"/>
  <c r="E45" i="5"/>
  <c r="E48" i="5" s="1"/>
  <c r="D48" i="5"/>
  <c r="A76" i="1"/>
  <c r="K32" i="1"/>
  <c r="L32" i="1" s="1"/>
  <c r="K33" i="1"/>
  <c r="L33" i="1" s="1"/>
  <c r="J34" i="1"/>
  <c r="J35" i="1"/>
  <c r="K35" i="1" s="1"/>
  <c r="K36" i="1"/>
  <c r="L36" i="1" s="1"/>
  <c r="K37" i="1"/>
  <c r="L37" i="1" s="1"/>
  <c r="L46" i="1"/>
  <c r="P72" i="1"/>
  <c r="B50" i="1" s="1"/>
  <c r="L47" i="1"/>
  <c r="P73" i="1"/>
  <c r="B51" i="1" s="1"/>
  <c r="L48" i="1"/>
  <c r="P74" i="1"/>
  <c r="L49" i="1"/>
  <c r="P75" i="1"/>
  <c r="B53" i="1" s="1"/>
  <c r="K50" i="1"/>
  <c r="L50" i="1" s="1"/>
  <c r="P76" i="1"/>
  <c r="B54" i="1" s="1"/>
  <c r="E37" i="1"/>
  <c r="L45" i="1"/>
  <c r="P71" i="1"/>
  <c r="D24" i="1"/>
  <c r="D25" i="1" s="1"/>
  <c r="G24" i="1"/>
  <c r="C25" i="4"/>
  <c r="D88" i="1"/>
  <c r="B88" i="1" s="1"/>
  <c r="N26" i="4"/>
  <c r="N34" i="4" s="1"/>
  <c r="D18" i="5"/>
  <c r="D19" i="5" s="1"/>
  <c r="H1" i="33"/>
  <c r="J1" i="36" s="1"/>
  <c r="E3" i="36"/>
  <c r="D31" i="57"/>
  <c r="M29" i="4"/>
  <c r="N29" i="4" s="1"/>
  <c r="G13" i="4"/>
  <c r="G14" i="4"/>
  <c r="F72" i="5"/>
  <c r="F30" i="5"/>
  <c r="E30" i="5"/>
  <c r="F71" i="5"/>
  <c r="F43" i="5"/>
  <c r="F36" i="5"/>
  <c r="F35" i="5"/>
  <c r="F34" i="5"/>
  <c r="F31" i="5"/>
  <c r="F29" i="5"/>
  <c r="F28" i="5"/>
  <c r="F27" i="5"/>
  <c r="F26" i="5"/>
  <c r="F25" i="5"/>
  <c r="F24" i="5"/>
  <c r="F23" i="5"/>
  <c r="F22" i="5"/>
  <c r="B52" i="1"/>
  <c r="B49" i="1"/>
  <c r="P67" i="1"/>
  <c r="P68" i="1" s="1"/>
  <c r="P66" i="1"/>
  <c r="N64" i="1"/>
  <c r="M19" i="1"/>
  <c r="M20" i="1"/>
  <c r="M21" i="1"/>
  <c r="M22" i="1"/>
  <c r="L61" i="1"/>
  <c r="M61" i="1"/>
  <c r="L60" i="1"/>
  <c r="M60" i="1" s="1"/>
  <c r="L59" i="1"/>
  <c r="M59" i="1"/>
  <c r="L58" i="1"/>
  <c r="M58" i="1" s="1"/>
  <c r="L57" i="1"/>
  <c r="M57" i="1" s="1"/>
  <c r="L56" i="1"/>
  <c r="M56" i="1" s="1"/>
  <c r="L24" i="1"/>
  <c r="L23" i="1"/>
  <c r="M25" i="1"/>
  <c r="G38" i="1"/>
  <c r="U30" i="1"/>
  <c r="T30" i="1"/>
  <c r="U48" i="1" s="1"/>
  <c r="S29" i="1"/>
  <c r="R29" i="1"/>
  <c r="U47" i="1" s="1"/>
  <c r="S28" i="1"/>
  <c r="R28" i="1"/>
  <c r="U46" i="1" s="1"/>
  <c r="S27" i="1"/>
  <c r="R27" i="1"/>
  <c r="U45" i="1" s="1"/>
  <c r="S26" i="1"/>
  <c r="R26" i="1"/>
  <c r="U44" i="1" s="1"/>
  <c r="S25" i="1"/>
  <c r="R25" i="1"/>
  <c r="U43" i="1" s="1"/>
  <c r="E25" i="57"/>
  <c r="Q12" i="1"/>
  <c r="G43" i="41"/>
  <c r="H43" i="41" s="1"/>
  <c r="I43" i="41" s="1"/>
  <c r="J43" i="41" s="1"/>
  <c r="K43" i="41" s="1"/>
  <c r="L43" i="41" s="1"/>
  <c r="M43" i="41" s="1"/>
  <c r="N43" i="41" s="1"/>
  <c r="O43" i="41" s="1"/>
  <c r="P43" i="41" s="1"/>
  <c r="Q43" i="41" s="1"/>
  <c r="R43" i="41" s="1"/>
  <c r="S43" i="41" s="1"/>
  <c r="T43" i="41" s="1"/>
  <c r="D10" i="43"/>
  <c r="D62" i="1" s="1"/>
  <c r="U38" i="1"/>
  <c r="U39" i="1" s="1"/>
  <c r="U37" i="1"/>
  <c r="W38" i="1" s="1"/>
  <c r="U36" i="1"/>
  <c r="U35" i="1"/>
  <c r="U34" i="1"/>
  <c r="U33" i="1"/>
  <c r="E69" i="5"/>
  <c r="E35" i="5"/>
  <c r="E34" i="5"/>
  <c r="E29" i="5"/>
  <c r="E28" i="5"/>
  <c r="E27" i="5"/>
  <c r="E26" i="5"/>
  <c r="E25" i="5"/>
  <c r="E24" i="5"/>
  <c r="E23" i="5"/>
  <c r="E22" i="5"/>
  <c r="A25" i="57"/>
  <c r="A26" i="57"/>
  <c r="M12" i="43"/>
  <c r="F22" i="43" s="1"/>
  <c r="M19" i="43"/>
  <c r="M9" i="43"/>
  <c r="B16" i="41"/>
  <c r="A16" i="41"/>
  <c r="A26" i="4"/>
  <c r="A19" i="41" s="1"/>
  <c r="A24" i="4"/>
  <c r="A17" i="41" s="1"/>
  <c r="A22" i="4"/>
  <c r="A15" i="41" s="1"/>
  <c r="A21" i="4"/>
  <c r="A14" i="41" s="1"/>
  <c r="A20" i="4"/>
  <c r="A13" i="41" s="1"/>
  <c r="A66" i="1"/>
  <c r="A90" i="1"/>
  <c r="A86" i="1"/>
  <c r="A25" i="4" s="1"/>
  <c r="A18" i="41" s="1"/>
  <c r="A78" i="1"/>
  <c r="A77" i="1"/>
  <c r="A75" i="1"/>
  <c r="A74" i="1"/>
  <c r="A82" i="1"/>
  <c r="A73" i="1"/>
  <c r="A72" i="1"/>
  <c r="A68" i="1"/>
  <c r="A67" i="1"/>
  <c r="A62" i="1"/>
  <c r="A61" i="1"/>
  <c r="A60" i="1"/>
  <c r="B15" i="57"/>
  <c r="I5" i="5"/>
  <c r="E54" i="5" s="1"/>
  <c r="C47" i="57"/>
  <c r="B47" i="57"/>
  <c r="E23" i="57"/>
  <c r="E24" i="57"/>
  <c r="C14" i="57"/>
  <c r="D24" i="57"/>
  <c r="C13" i="57"/>
  <c r="C15" i="57"/>
  <c r="D25" i="57"/>
  <c r="D26" i="57"/>
  <c r="D23" i="57"/>
  <c r="B49" i="57"/>
  <c r="C49" i="57"/>
  <c r="B45" i="57"/>
  <c r="B48" i="57" s="1"/>
  <c r="A3" i="57"/>
  <c r="A2" i="57"/>
  <c r="A1" i="57"/>
  <c r="G6" i="41"/>
  <c r="H6" i="41"/>
  <c r="I6" i="41" s="1"/>
  <c r="J6" i="41" s="1"/>
  <c r="K6" i="41" s="1"/>
  <c r="L6" i="41" s="1"/>
  <c r="M6" i="41" s="1"/>
  <c r="N6" i="41" s="1"/>
  <c r="O6" i="41" s="1"/>
  <c r="P6" i="41" s="1"/>
  <c r="Q6" i="41" s="1"/>
  <c r="R6" i="41" s="1"/>
  <c r="S6" i="41" s="1"/>
  <c r="T6" i="41" s="1"/>
  <c r="U6" i="41" s="1"/>
  <c r="V6" i="41" s="1"/>
  <c r="W6" i="41" s="1"/>
  <c r="X6" i="41" s="1"/>
  <c r="Y6" i="41" s="1"/>
  <c r="Z6" i="41" s="1"/>
  <c r="AA6" i="41" s="1"/>
  <c r="AB6" i="41" s="1"/>
  <c r="AC6" i="41" s="1"/>
  <c r="AD6" i="41" s="1"/>
  <c r="AE6" i="41" s="1"/>
  <c r="AF6" i="41" s="1"/>
  <c r="AG6" i="41" s="1"/>
  <c r="AH6" i="41" s="1"/>
  <c r="AI6" i="41" s="1"/>
  <c r="I1" i="36"/>
  <c r="A3" i="43"/>
  <c r="A2" i="43"/>
  <c r="A1" i="43"/>
  <c r="C16" i="1"/>
  <c r="D16" i="1" s="1"/>
  <c r="F38" i="1"/>
  <c r="G25" i="1"/>
  <c r="A3" i="41"/>
  <c r="A2" i="41"/>
  <c r="D9" i="1"/>
  <c r="D13" i="1"/>
  <c r="D62" i="23"/>
  <c r="E3" i="33"/>
  <c r="E2" i="36"/>
  <c r="A2" i="36"/>
  <c r="A3" i="36"/>
  <c r="A1" i="36"/>
  <c r="B8" i="36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B26" i="36"/>
  <c r="B27" i="36"/>
  <c r="B28" i="36"/>
  <c r="B29" i="36"/>
  <c r="B30" i="36"/>
  <c r="B31" i="36"/>
  <c r="B32" i="36"/>
  <c r="B33" i="36"/>
  <c r="B34" i="36"/>
  <c r="B35" i="36"/>
  <c r="B36" i="36"/>
  <c r="B37" i="36"/>
  <c r="B38" i="36"/>
  <c r="B39" i="36"/>
  <c r="B40" i="36"/>
  <c r="B41" i="36"/>
  <c r="B42" i="36"/>
  <c r="B43" i="36"/>
  <c r="B44" i="36"/>
  <c r="B45" i="36"/>
  <c r="B46" i="36"/>
  <c r="B47" i="36"/>
  <c r="B48" i="36"/>
  <c r="B49" i="36"/>
  <c r="B50" i="36"/>
  <c r="B51" i="36"/>
  <c r="B52" i="36"/>
  <c r="B53" i="36"/>
  <c r="B54" i="36"/>
  <c r="B55" i="36"/>
  <c r="B56" i="36"/>
  <c r="B57" i="36"/>
  <c r="B58" i="36"/>
  <c r="B59" i="36"/>
  <c r="B60" i="36"/>
  <c r="B61" i="36"/>
  <c r="B62" i="36"/>
  <c r="B63" i="36"/>
  <c r="B64" i="36"/>
  <c r="B65" i="36"/>
  <c r="B66" i="36"/>
  <c r="B67" i="36"/>
  <c r="B68" i="36"/>
  <c r="B69" i="36"/>
  <c r="B70" i="36"/>
  <c r="B71" i="36"/>
  <c r="B72" i="36"/>
  <c r="B73" i="36"/>
  <c r="B74" i="36"/>
  <c r="B75" i="36"/>
  <c r="B76" i="36"/>
  <c r="B77" i="36"/>
  <c r="B78" i="36"/>
  <c r="B79" i="36"/>
  <c r="B80" i="36"/>
  <c r="B81" i="36"/>
  <c r="B82" i="36"/>
  <c r="B83" i="36"/>
  <c r="B84" i="36"/>
  <c r="B85" i="36"/>
  <c r="B86" i="36"/>
  <c r="B87" i="36"/>
  <c r="B88" i="36"/>
  <c r="B89" i="36"/>
  <c r="B90" i="36"/>
  <c r="B91" i="36"/>
  <c r="B92" i="36"/>
  <c r="B93" i="36"/>
  <c r="B94" i="36"/>
  <c r="B95" i="36"/>
  <c r="B96" i="36"/>
  <c r="B97" i="36"/>
  <c r="B98" i="36"/>
  <c r="B99" i="36"/>
  <c r="B100" i="36"/>
  <c r="B101" i="36"/>
  <c r="B102" i="36"/>
  <c r="B103" i="36"/>
  <c r="B104" i="36"/>
  <c r="B105" i="36"/>
  <c r="B106" i="36"/>
  <c r="B107" i="36"/>
  <c r="B108" i="36"/>
  <c r="B109" i="36"/>
  <c r="B110" i="36"/>
  <c r="B111" i="36"/>
  <c r="B112" i="36"/>
  <c r="B113" i="36"/>
  <c r="B114" i="36"/>
  <c r="B115" i="36"/>
  <c r="B116" i="36"/>
  <c r="B117" i="36"/>
  <c r="B118" i="36"/>
  <c r="B119" i="36"/>
  <c r="B120" i="36"/>
  <c r="B121" i="36"/>
  <c r="B122" i="36"/>
  <c r="B123" i="36"/>
  <c r="B124" i="36"/>
  <c r="B125" i="36"/>
  <c r="B126" i="36"/>
  <c r="B127" i="36"/>
  <c r="B128" i="36"/>
  <c r="B129" i="36"/>
  <c r="B130" i="36"/>
  <c r="B131" i="36"/>
  <c r="B132" i="36"/>
  <c r="B133" i="36"/>
  <c r="B134" i="36"/>
  <c r="B135" i="36"/>
  <c r="B136" i="36"/>
  <c r="B137" i="36"/>
  <c r="B138" i="36"/>
  <c r="B139" i="36"/>
  <c r="B140" i="36"/>
  <c r="B141" i="36"/>
  <c r="B142" i="36"/>
  <c r="B143" i="36"/>
  <c r="B144" i="36"/>
  <c r="B145" i="36"/>
  <c r="B146" i="36"/>
  <c r="B147" i="36"/>
  <c r="B148" i="36"/>
  <c r="B149" i="36"/>
  <c r="B150" i="36"/>
  <c r="B151" i="36"/>
  <c r="B152" i="36"/>
  <c r="B153" i="36"/>
  <c r="B154" i="36"/>
  <c r="B155" i="36"/>
  <c r="B156" i="36"/>
  <c r="B157" i="36"/>
  <c r="B158" i="36"/>
  <c r="B159" i="36"/>
  <c r="B160" i="36"/>
  <c r="B161" i="36"/>
  <c r="B162" i="36"/>
  <c r="B163" i="36"/>
  <c r="B164" i="36"/>
  <c r="B165" i="36"/>
  <c r="B166" i="36"/>
  <c r="B167" i="36"/>
  <c r="B168" i="36"/>
  <c r="B169" i="36"/>
  <c r="B170" i="36"/>
  <c r="B171" i="36"/>
  <c r="B172" i="36"/>
  <c r="B173" i="36"/>
  <c r="B174" i="36"/>
  <c r="B175" i="36"/>
  <c r="B176" i="36"/>
  <c r="B177" i="36"/>
  <c r="B178" i="36"/>
  <c r="B179" i="36"/>
  <c r="B180" i="36"/>
  <c r="B181" i="36"/>
  <c r="B182" i="36"/>
  <c r="B183" i="36"/>
  <c r="B184" i="36"/>
  <c r="B185" i="36"/>
  <c r="B186" i="36"/>
  <c r="B187" i="36"/>
  <c r="B188" i="36"/>
  <c r="B189" i="36"/>
  <c r="B190" i="36"/>
  <c r="B191" i="36"/>
  <c r="B192" i="36"/>
  <c r="B193" i="36"/>
  <c r="B194" i="36"/>
  <c r="B195" i="36"/>
  <c r="B196" i="36"/>
  <c r="B197" i="36"/>
  <c r="B198" i="36"/>
  <c r="B199" i="36"/>
  <c r="B200" i="36"/>
  <c r="B201" i="36"/>
  <c r="B202" i="36"/>
  <c r="B203" i="36"/>
  <c r="B204" i="36"/>
  <c r="B205" i="36"/>
  <c r="B206" i="36"/>
  <c r="B207" i="36"/>
  <c r="B208" i="36"/>
  <c r="B209" i="36"/>
  <c r="B210" i="36"/>
  <c r="B211" i="36"/>
  <c r="B212" i="36"/>
  <c r="B213" i="36"/>
  <c r="B214" i="36"/>
  <c r="B215" i="36"/>
  <c r="B216" i="36"/>
  <c r="B217" i="36"/>
  <c r="B218" i="36"/>
  <c r="B219" i="36"/>
  <c r="B220" i="36"/>
  <c r="B221" i="36"/>
  <c r="B222" i="36"/>
  <c r="B223" i="36"/>
  <c r="B224" i="36"/>
  <c r="B225" i="36"/>
  <c r="B226" i="36"/>
  <c r="B227" i="36"/>
  <c r="B228" i="36"/>
  <c r="B229" i="36"/>
  <c r="B230" i="36"/>
  <c r="B231" i="36"/>
  <c r="B232" i="36"/>
  <c r="B233" i="36"/>
  <c r="B234" i="36"/>
  <c r="B235" i="36"/>
  <c r="B236" i="36"/>
  <c r="B237" i="36"/>
  <c r="B238" i="36"/>
  <c r="B239" i="36"/>
  <c r="B240" i="36"/>
  <c r="B241" i="36"/>
  <c r="B242" i="36"/>
  <c r="B243" i="36"/>
  <c r="B244" i="36"/>
  <c r="B245" i="36"/>
  <c r="B246" i="36"/>
  <c r="B247" i="36"/>
  <c r="B248" i="36"/>
  <c r="B249" i="36"/>
  <c r="B250" i="36"/>
  <c r="B251" i="36"/>
  <c r="B252" i="36"/>
  <c r="B253" i="36"/>
  <c r="B254" i="36"/>
  <c r="B255" i="36"/>
  <c r="B256" i="36"/>
  <c r="B257" i="36"/>
  <c r="B258" i="36"/>
  <c r="B259" i="36"/>
  <c r="B260" i="36"/>
  <c r="B261" i="36"/>
  <c r="B262" i="36"/>
  <c r="B263" i="36"/>
  <c r="B264" i="36"/>
  <c r="B265" i="36"/>
  <c r="B266" i="36"/>
  <c r="B267" i="36"/>
  <c r="B268" i="36"/>
  <c r="B269" i="36"/>
  <c r="B270" i="36"/>
  <c r="B271" i="36"/>
  <c r="B272" i="36"/>
  <c r="B273" i="36"/>
  <c r="B274" i="36"/>
  <c r="B275" i="36"/>
  <c r="B276" i="36"/>
  <c r="B277" i="36"/>
  <c r="B278" i="36"/>
  <c r="B279" i="36"/>
  <c r="B280" i="36"/>
  <c r="B281" i="36"/>
  <c r="B282" i="36"/>
  <c r="B283" i="36"/>
  <c r="B284" i="36"/>
  <c r="B285" i="36"/>
  <c r="B286" i="36"/>
  <c r="B287" i="36"/>
  <c r="B288" i="36"/>
  <c r="B289" i="36"/>
  <c r="B290" i="36"/>
  <c r="B291" i="36"/>
  <c r="B292" i="36"/>
  <c r="B293" i="36"/>
  <c r="B294" i="36"/>
  <c r="B295" i="36"/>
  <c r="B296" i="36"/>
  <c r="B297" i="36"/>
  <c r="B298" i="36"/>
  <c r="B299" i="36"/>
  <c r="B300" i="36"/>
  <c r="B301" i="36"/>
  <c r="B302" i="36"/>
  <c r="B303" i="36"/>
  <c r="B304" i="36"/>
  <c r="B305" i="36"/>
  <c r="B306" i="36"/>
  <c r="B307" i="36"/>
  <c r="B308" i="36"/>
  <c r="B309" i="36"/>
  <c r="B310" i="36"/>
  <c r="B311" i="36"/>
  <c r="B312" i="36"/>
  <c r="B313" i="36"/>
  <c r="B314" i="36"/>
  <c r="B315" i="36"/>
  <c r="B316" i="36"/>
  <c r="B317" i="36"/>
  <c r="B318" i="36"/>
  <c r="B319" i="36"/>
  <c r="B320" i="36"/>
  <c r="B321" i="36"/>
  <c r="B322" i="36"/>
  <c r="B323" i="36"/>
  <c r="B324" i="36"/>
  <c r="B325" i="36"/>
  <c r="B326" i="36"/>
  <c r="B327" i="36"/>
  <c r="B328" i="36"/>
  <c r="B329" i="36"/>
  <c r="B330" i="36"/>
  <c r="B331" i="36"/>
  <c r="B332" i="36"/>
  <c r="B333" i="36"/>
  <c r="B334" i="36"/>
  <c r="B335" i="36"/>
  <c r="B336" i="36"/>
  <c r="B337" i="36"/>
  <c r="B338" i="36"/>
  <c r="B339" i="36"/>
  <c r="B340" i="36"/>
  <c r="B341" i="36"/>
  <c r="B342" i="36"/>
  <c r="B343" i="36"/>
  <c r="B344" i="36"/>
  <c r="B345" i="36"/>
  <c r="B346" i="36"/>
  <c r="B347" i="36"/>
  <c r="B348" i="36"/>
  <c r="B349" i="36"/>
  <c r="B350" i="36"/>
  <c r="B351" i="36"/>
  <c r="B352" i="36"/>
  <c r="B353" i="36"/>
  <c r="B354" i="36"/>
  <c r="B355" i="36"/>
  <c r="B356" i="36"/>
  <c r="B357" i="36"/>
  <c r="B358" i="36"/>
  <c r="B359" i="36"/>
  <c r="B360" i="36"/>
  <c r="B361" i="36"/>
  <c r="B362" i="36"/>
  <c r="B363" i="36"/>
  <c r="B364" i="36"/>
  <c r="B365" i="36"/>
  <c r="B366" i="36"/>
  <c r="B367" i="36"/>
  <c r="B368" i="36"/>
  <c r="B369" i="36"/>
  <c r="B370" i="36"/>
  <c r="B371" i="36"/>
  <c r="B372" i="36"/>
  <c r="B373" i="36"/>
  <c r="B374" i="36"/>
  <c r="B375" i="36"/>
  <c r="B376" i="36"/>
  <c r="B377" i="36"/>
  <c r="B378" i="36"/>
  <c r="B379" i="36"/>
  <c r="B380" i="36"/>
  <c r="B381" i="36"/>
  <c r="B382" i="36"/>
  <c r="B383" i="36"/>
  <c r="B384" i="36"/>
  <c r="B385" i="36"/>
  <c r="B386" i="36"/>
  <c r="B387" i="36"/>
  <c r="B388" i="36"/>
  <c r="B389" i="36"/>
  <c r="B390" i="36"/>
  <c r="B391" i="36"/>
  <c r="B392" i="36"/>
  <c r="B393" i="36"/>
  <c r="B394" i="36"/>
  <c r="B395" i="36"/>
  <c r="B396" i="36"/>
  <c r="B397" i="36"/>
  <c r="B398" i="36"/>
  <c r="B399" i="36"/>
  <c r="B400" i="36"/>
  <c r="B401" i="36"/>
  <c r="B402" i="36"/>
  <c r="B403" i="36"/>
  <c r="B404" i="36"/>
  <c r="B405" i="36"/>
  <c r="B406" i="36"/>
  <c r="B407" i="36"/>
  <c r="B408" i="36"/>
  <c r="B409" i="36"/>
  <c r="B410" i="36"/>
  <c r="B411" i="36"/>
  <c r="B412" i="36"/>
  <c r="B413" i="36"/>
  <c r="B414" i="36"/>
  <c r="B415" i="36"/>
  <c r="B416" i="36"/>
  <c r="B417" i="36"/>
  <c r="B418" i="36"/>
  <c r="B419" i="36"/>
  <c r="B420" i="36"/>
  <c r="B421" i="36"/>
  <c r="B422" i="36"/>
  <c r="B423" i="36"/>
  <c r="B424" i="36"/>
  <c r="B425" i="36"/>
  <c r="B426" i="36"/>
  <c r="B427" i="36"/>
  <c r="B428" i="36"/>
  <c r="B429" i="36"/>
  <c r="B430" i="36"/>
  <c r="B431" i="36"/>
  <c r="B432" i="36"/>
  <c r="B433" i="36"/>
  <c r="B434" i="36"/>
  <c r="B435" i="36"/>
  <c r="B436" i="36"/>
  <c r="B437" i="36"/>
  <c r="B438" i="36"/>
  <c r="B439" i="36"/>
  <c r="B440" i="36"/>
  <c r="B441" i="36"/>
  <c r="B442" i="36"/>
  <c r="B443" i="36"/>
  <c r="B444" i="36"/>
  <c r="B445" i="36"/>
  <c r="B446" i="36"/>
  <c r="B447" i="36"/>
  <c r="B448" i="36"/>
  <c r="B449" i="36"/>
  <c r="B450" i="36"/>
  <c r="B451" i="36"/>
  <c r="B452" i="36"/>
  <c r="B453" i="36"/>
  <c r="B454" i="36"/>
  <c r="B455" i="36"/>
  <c r="B456" i="36"/>
  <c r="B457" i="36"/>
  <c r="B458" i="36"/>
  <c r="B459" i="36"/>
  <c r="B460" i="36"/>
  <c r="B461" i="36"/>
  <c r="B462" i="36"/>
  <c r="B463" i="36"/>
  <c r="B464" i="36"/>
  <c r="B465" i="36"/>
  <c r="B466" i="36"/>
  <c r="B467" i="36"/>
  <c r="B468" i="36"/>
  <c r="B469" i="36"/>
  <c r="B470" i="36"/>
  <c r="B471" i="36"/>
  <c r="B472" i="36"/>
  <c r="B473" i="36"/>
  <c r="B474" i="36"/>
  <c r="B475" i="36"/>
  <c r="B476" i="36"/>
  <c r="B477" i="36"/>
  <c r="B478" i="36"/>
  <c r="B479" i="36"/>
  <c r="B480" i="36"/>
  <c r="B481" i="36"/>
  <c r="B482" i="36"/>
  <c r="B483" i="36"/>
  <c r="B484" i="36"/>
  <c r="B485" i="36"/>
  <c r="B486" i="36"/>
  <c r="A3" i="34"/>
  <c r="A2" i="34"/>
  <c r="E2" i="33"/>
  <c r="D3" i="33"/>
  <c r="D2" i="33"/>
  <c r="A3" i="33"/>
  <c r="A2" i="33"/>
  <c r="A1" i="33"/>
  <c r="A1" i="1"/>
  <c r="A1" i="41" s="1"/>
  <c r="A3" i="4"/>
  <c r="A2" i="4"/>
  <c r="A1" i="4"/>
  <c r="A3" i="5"/>
  <c r="A2" i="5"/>
  <c r="A1" i="5"/>
  <c r="A1" i="34" s="1"/>
  <c r="A3" i="23"/>
  <c r="A2" i="23"/>
  <c r="A1" i="23"/>
  <c r="A3" i="1"/>
  <c r="A2" i="1"/>
  <c r="E26" i="57"/>
  <c r="L28" i="4"/>
  <c r="M26" i="4"/>
  <c r="M34" i="4" s="1"/>
  <c r="M32" i="4" s="1"/>
  <c r="M31" i="4" s="1"/>
  <c r="D42" i="23"/>
  <c r="B38" i="1"/>
  <c r="D38" i="1"/>
  <c r="E17" i="5"/>
  <c r="E66" i="5"/>
  <c r="O26" i="4"/>
  <c r="B48" i="2"/>
  <c r="L38" i="62" l="1"/>
  <c r="J38" i="61"/>
  <c r="N38" i="61" s="1"/>
  <c r="D124" i="64"/>
  <c r="D104" i="61"/>
  <c r="G104" i="61" s="1"/>
  <c r="H24" i="1"/>
  <c r="H38" i="1"/>
  <c r="M26" i="1" s="1"/>
  <c r="W35" i="1"/>
  <c r="M23" i="1"/>
  <c r="N23" i="1" s="1"/>
  <c r="W36" i="1"/>
  <c r="L35" i="1"/>
  <c r="K34" i="1"/>
  <c r="L34" i="1" s="1"/>
  <c r="D53" i="60"/>
  <c r="D20" i="60"/>
  <c r="D10" i="1"/>
  <c r="B15" i="1"/>
  <c r="B17" i="1" s="1"/>
  <c r="E62" i="1" s="1"/>
  <c r="H26" i="1"/>
  <c r="E12" i="4" s="1"/>
  <c r="H25" i="1"/>
  <c r="N24" i="1"/>
  <c r="D55" i="60"/>
  <c r="D22" i="60"/>
  <c r="D12" i="1"/>
  <c r="D56" i="60"/>
  <c r="D23" i="60"/>
  <c r="W37" i="1"/>
  <c r="W34" i="1"/>
  <c r="D54" i="60"/>
  <c r="D21" i="60"/>
  <c r="G22" i="43"/>
  <c r="C88" i="1"/>
  <c r="C26" i="4"/>
  <c r="D26" i="4" s="1"/>
  <c r="B62" i="1"/>
  <c r="C62" i="1" s="1"/>
  <c r="E26" i="4"/>
  <c r="O29" i="4"/>
  <c r="N32" i="4"/>
  <c r="N31" i="4" s="1"/>
  <c r="AD70" i="64"/>
  <c r="G139" i="64"/>
  <c r="B19" i="5"/>
  <c r="C38" i="2"/>
  <c r="B23" i="5"/>
  <c r="E18" i="5"/>
  <c r="E19" i="5" s="1"/>
  <c r="I34" i="1"/>
  <c r="E36" i="1"/>
  <c r="I36" i="1" s="1"/>
  <c r="I32" i="1"/>
  <c r="C38" i="1"/>
  <c r="E35" i="1"/>
  <c r="I35" i="1" s="1"/>
  <c r="E33" i="1"/>
  <c r="I33" i="1" s="1"/>
  <c r="I37" i="1"/>
  <c r="E68" i="5"/>
  <c r="F28" i="58"/>
  <c r="C45" i="57"/>
  <c r="C48" i="57" s="1"/>
  <c r="O34" i="4"/>
  <c r="G54" i="60" l="1"/>
  <c r="H54" i="60"/>
  <c r="H55" i="60"/>
  <c r="G55" i="60"/>
  <c r="H23" i="60"/>
  <c r="G23" i="60"/>
  <c r="E13" i="4"/>
  <c r="E14" i="4" s="1"/>
  <c r="F9" i="41" s="1"/>
  <c r="G9" i="41" s="1"/>
  <c r="H9" i="41" s="1"/>
  <c r="I9" i="41" s="1"/>
  <c r="J9" i="41" s="1"/>
  <c r="K9" i="41" s="1"/>
  <c r="L9" i="41" s="1"/>
  <c r="M9" i="41" s="1"/>
  <c r="N9" i="41" s="1"/>
  <c r="O9" i="41" s="1"/>
  <c r="P9" i="41" s="1"/>
  <c r="Q9" i="41" s="1"/>
  <c r="R9" i="41" s="1"/>
  <c r="S9" i="41" s="1"/>
  <c r="T9" i="41" s="1"/>
  <c r="U9" i="41" s="1"/>
  <c r="V9" i="41" s="1"/>
  <c r="W9" i="41" s="1"/>
  <c r="X9" i="41" s="1"/>
  <c r="Y9" i="41" s="1"/>
  <c r="Z9" i="41" s="1"/>
  <c r="AA9" i="41" s="1"/>
  <c r="AB9" i="41" s="1"/>
  <c r="AC9" i="41" s="1"/>
  <c r="AD9" i="41" s="1"/>
  <c r="AE9" i="41" s="1"/>
  <c r="AF9" i="41" s="1"/>
  <c r="AG9" i="41" s="1"/>
  <c r="AH9" i="41" s="1"/>
  <c r="AI9" i="41" s="1"/>
  <c r="C12" i="4"/>
  <c r="H56" i="60"/>
  <c r="G56" i="60"/>
  <c r="D82" i="5"/>
  <c r="D107" i="64" s="1"/>
  <c r="D13" i="23"/>
  <c r="D70" i="5"/>
  <c r="M20" i="43"/>
  <c r="F25" i="43" s="1"/>
  <c r="G25" i="43" s="1"/>
  <c r="D81" i="5"/>
  <c r="G21" i="43"/>
  <c r="G26" i="43"/>
  <c r="D10" i="2"/>
  <c r="G10" i="43"/>
  <c r="M11" i="43"/>
  <c r="F14" i="43" s="1"/>
  <c r="G14" i="43" s="1"/>
  <c r="E5" i="43"/>
  <c r="B11" i="5"/>
  <c r="G19" i="43"/>
  <c r="D8" i="2"/>
  <c r="D76" i="5"/>
  <c r="M17" i="43"/>
  <c r="D28" i="2"/>
  <c r="D11" i="2"/>
  <c r="M8" i="43"/>
  <c r="F17" i="43" s="1"/>
  <c r="G17" i="43" s="1"/>
  <c r="M18" i="43"/>
  <c r="F8" i="43" s="1"/>
  <c r="G8" i="43" s="1"/>
  <c r="E88" i="1"/>
  <c r="D15" i="2"/>
  <c r="D13" i="2"/>
  <c r="E4" i="2"/>
  <c r="D26" i="2"/>
  <c r="D25" i="4"/>
  <c r="G9" i="43"/>
  <c r="D27" i="2"/>
  <c r="G18" i="43"/>
  <c r="D25" i="2"/>
  <c r="D15" i="1"/>
  <c r="D17" i="1" s="1"/>
  <c r="H20" i="60"/>
  <c r="G20" i="60"/>
  <c r="G21" i="60"/>
  <c r="H21" i="60"/>
  <c r="H22" i="60"/>
  <c r="G22" i="60"/>
  <c r="H53" i="60"/>
  <c r="H57" i="60" s="1"/>
  <c r="G60" i="60" s="1"/>
  <c r="G53" i="60"/>
  <c r="G57" i="60" s="1"/>
  <c r="G59" i="60" s="1"/>
  <c r="G26" i="4"/>
  <c r="F26" i="4"/>
  <c r="D137" i="64"/>
  <c r="J137" i="64" s="1"/>
  <c r="D102" i="62"/>
  <c r="D117" i="61"/>
  <c r="AJ70" i="64"/>
  <c r="AK70" i="64" s="1"/>
  <c r="D73" i="61"/>
  <c r="D73" i="62"/>
  <c r="E73" i="62" s="1"/>
  <c r="L73" i="62" s="1"/>
  <c r="D38" i="2"/>
  <c r="H40" i="1"/>
  <c r="O32" i="4"/>
  <c r="O31" i="4" s="1"/>
  <c r="D106" i="64" l="1"/>
  <c r="AJ106" i="64" s="1"/>
  <c r="AK106" i="64" s="1"/>
  <c r="F81" i="5"/>
  <c r="D72" i="61"/>
  <c r="D72" i="62"/>
  <c r="E72" i="62" s="1"/>
  <c r="L72" i="62" s="1"/>
  <c r="D22" i="43"/>
  <c r="E26" i="43"/>
  <c r="D20" i="43"/>
  <c r="D76" i="1" s="1"/>
  <c r="E76" i="1" s="1"/>
  <c r="D11" i="43"/>
  <c r="D66" i="1" s="1"/>
  <c r="D19" i="43"/>
  <c r="D25" i="43"/>
  <c r="D86" i="1" s="1"/>
  <c r="D9" i="43"/>
  <c r="D61" i="1" s="1"/>
  <c r="D17" i="43"/>
  <c r="D74" i="1" s="1"/>
  <c r="D8" i="43"/>
  <c r="D60" i="1" s="1"/>
  <c r="D16" i="43"/>
  <c r="D82" i="1" s="1"/>
  <c r="D18" i="43"/>
  <c r="D75" i="1" s="1"/>
  <c r="D21" i="43"/>
  <c r="D77" i="1" s="1"/>
  <c r="D12" i="43"/>
  <c r="D67" i="1" s="1"/>
  <c r="D13" i="43"/>
  <c r="D14" i="43"/>
  <c r="D72" i="1" s="1"/>
  <c r="D94" i="64"/>
  <c r="F94" i="64" s="1"/>
  <c r="F70" i="5"/>
  <c r="D61" i="61"/>
  <c r="N61" i="61" s="1"/>
  <c r="D61" i="62"/>
  <c r="D23" i="23"/>
  <c r="E13" i="23"/>
  <c r="G24" i="60"/>
  <c r="G26" i="60" s="1"/>
  <c r="AJ107" i="64"/>
  <c r="AK107" i="64"/>
  <c r="H24" i="60"/>
  <c r="G27" i="60" s="1"/>
  <c r="E3" i="5"/>
  <c r="D3" i="34"/>
  <c r="P3" i="4"/>
  <c r="M14" i="43"/>
  <c r="F12" i="43" s="1"/>
  <c r="G12" i="43" s="1"/>
  <c r="M13" i="43"/>
  <c r="F11" i="43" s="1"/>
  <c r="G11" i="43" s="1"/>
  <c r="M15" i="43"/>
  <c r="F13" i="43" s="1"/>
  <c r="G13" i="43" s="1"/>
  <c r="M16" i="43"/>
  <c r="F16" i="43" s="1"/>
  <c r="G16" i="43" s="1"/>
  <c r="D67" i="62"/>
  <c r="D101" i="64"/>
  <c r="D67" i="61"/>
  <c r="G61" i="60"/>
  <c r="G62" i="60" s="1"/>
  <c r="C13" i="4"/>
  <c r="C14" i="4" s="1"/>
  <c r="H26" i="4"/>
  <c r="F19" i="41"/>
  <c r="G19" i="41" s="1"/>
  <c r="H19" i="41" s="1"/>
  <c r="I19" i="41" s="1"/>
  <c r="J19" i="41" s="1"/>
  <c r="K19" i="41" s="1"/>
  <c r="L19" i="41" s="1"/>
  <c r="M19" i="41" s="1"/>
  <c r="N19" i="41" s="1"/>
  <c r="O19" i="41" s="1"/>
  <c r="P19" i="41" s="1"/>
  <c r="Q19" i="41" s="1"/>
  <c r="R19" i="41" s="1"/>
  <c r="S19" i="41" s="1"/>
  <c r="T19" i="41" s="1"/>
  <c r="U19" i="41" s="1"/>
  <c r="V19" i="41" s="1"/>
  <c r="W19" i="41" s="1"/>
  <c r="X19" i="41" s="1"/>
  <c r="Y19" i="41" s="1"/>
  <c r="Z19" i="41" s="1"/>
  <c r="AA19" i="41" s="1"/>
  <c r="AB19" i="41" s="1"/>
  <c r="AC19" i="41" s="1"/>
  <c r="AD19" i="41" s="1"/>
  <c r="AE19" i="41" s="1"/>
  <c r="AF19" i="41" s="1"/>
  <c r="AG19" i="41" s="1"/>
  <c r="AH19" i="41" s="1"/>
  <c r="AI19" i="41" s="1"/>
  <c r="L73" i="61"/>
  <c r="N73" i="61" s="1"/>
  <c r="D89" i="61"/>
  <c r="J89" i="61" s="1"/>
  <c r="B60" i="1"/>
  <c r="D63" i="1"/>
  <c r="E20" i="4" s="1"/>
  <c r="E60" i="1"/>
  <c r="D84" i="5"/>
  <c r="H43" i="1"/>
  <c r="D42" i="1"/>
  <c r="I26" i="1" s="1"/>
  <c r="G7" i="4"/>
  <c r="E7" i="4"/>
  <c r="C7" i="4"/>
  <c r="J40" i="1"/>
  <c r="M10" i="43"/>
  <c r="F15" i="43" s="1"/>
  <c r="AD94" i="64" l="1"/>
  <c r="N67" i="61"/>
  <c r="J67" i="61"/>
  <c r="I67" i="62"/>
  <c r="L67" i="62" s="1"/>
  <c r="E27" i="23"/>
  <c r="E23" i="23"/>
  <c r="B77" i="1"/>
  <c r="C77" i="1" s="1"/>
  <c r="E77" i="1"/>
  <c r="B66" i="1"/>
  <c r="E66" i="1"/>
  <c r="G101" i="64"/>
  <c r="G123" i="64" s="1"/>
  <c r="J101" i="64"/>
  <c r="J123" i="64" s="1"/>
  <c r="H101" i="64"/>
  <c r="H123" i="64" s="1"/>
  <c r="H174" i="64" s="1"/>
  <c r="H183" i="64" s="1"/>
  <c r="I101" i="64"/>
  <c r="I123" i="64" s="1"/>
  <c r="I61" i="62"/>
  <c r="L61" i="62" s="1"/>
  <c r="E75" i="1"/>
  <c r="B75" i="1"/>
  <c r="C75" i="1" s="1"/>
  <c r="B10" i="5"/>
  <c r="B17" i="5"/>
  <c r="B68" i="5"/>
  <c r="D73" i="5"/>
  <c r="H82" i="5"/>
  <c r="B82" i="5"/>
  <c r="B82" i="1"/>
  <c r="D83" i="1"/>
  <c r="E24" i="4" s="1"/>
  <c r="E82" i="1"/>
  <c r="E22" i="43"/>
  <c r="G12" i="58"/>
  <c r="G13" i="58" s="1"/>
  <c r="G14" i="58" s="1"/>
  <c r="G15" i="58" s="1"/>
  <c r="G16" i="58" s="1"/>
  <c r="G17" i="58" s="1"/>
  <c r="G18" i="58" s="1"/>
  <c r="G19" i="58" s="1"/>
  <c r="G20" i="58" s="1"/>
  <c r="G21" i="58" s="1"/>
  <c r="G22" i="58" s="1"/>
  <c r="G23" i="58" s="1"/>
  <c r="G24" i="58" s="1"/>
  <c r="G25" i="58" s="1"/>
  <c r="G26" i="58" s="1"/>
  <c r="D78" i="1"/>
  <c r="B74" i="1"/>
  <c r="C74" i="1" s="1"/>
  <c r="E74" i="1"/>
  <c r="B72" i="1"/>
  <c r="C72" i="1" s="1"/>
  <c r="E72" i="1"/>
  <c r="E61" i="1"/>
  <c r="B61" i="1"/>
  <c r="C61" i="1" s="1"/>
  <c r="D88" i="61"/>
  <c r="J88" i="61" s="1"/>
  <c r="L72" i="61"/>
  <c r="N72" i="61" s="1"/>
  <c r="G28" i="60"/>
  <c r="G29" i="60" s="1"/>
  <c r="D68" i="1"/>
  <c r="H13" i="43"/>
  <c r="E25" i="4"/>
  <c r="E86" i="1"/>
  <c r="B67" i="1"/>
  <c r="C67" i="1" s="1"/>
  <c r="D77" i="5"/>
  <c r="E67" i="1"/>
  <c r="AJ94" i="64"/>
  <c r="D109" i="64"/>
  <c r="AJ109" i="64" s="1"/>
  <c r="AK109" i="64" s="1"/>
  <c r="D75" i="62"/>
  <c r="E75" i="62" s="1"/>
  <c r="L75" i="62" s="1"/>
  <c r="D75" i="61"/>
  <c r="I40" i="1"/>
  <c r="F20" i="4"/>
  <c r="G20" i="4"/>
  <c r="C60" i="1"/>
  <c r="F23" i="43"/>
  <c r="G15" i="43"/>
  <c r="C8" i="4"/>
  <c r="C9" i="4" s="1"/>
  <c r="C17" i="4" s="1"/>
  <c r="E8" i="4"/>
  <c r="E9" i="4" s="1"/>
  <c r="G8" i="4"/>
  <c r="G9" i="4" s="1"/>
  <c r="G17" i="4" s="1"/>
  <c r="D15" i="43" s="1"/>
  <c r="B63" i="1" l="1"/>
  <c r="C20" i="4" s="1"/>
  <c r="D20" i="4" s="1"/>
  <c r="H159" i="64"/>
  <c r="H160" i="64" s="1"/>
  <c r="H198" i="64" s="1"/>
  <c r="G159" i="64"/>
  <c r="G160" i="64" s="1"/>
  <c r="G198" i="64" s="1"/>
  <c r="G174" i="64"/>
  <c r="G183" i="64" s="1"/>
  <c r="B68" i="1"/>
  <c r="C68" i="1" s="1"/>
  <c r="E68" i="1"/>
  <c r="D69" i="1"/>
  <c r="E21" i="4" s="1"/>
  <c r="C82" i="1"/>
  <c r="C83" i="1" s="1"/>
  <c r="B83" i="1"/>
  <c r="C24" i="4" s="1"/>
  <c r="D24" i="4" s="1"/>
  <c r="C63" i="1"/>
  <c r="B78" i="1"/>
  <c r="E78" i="1"/>
  <c r="D64" i="61"/>
  <c r="D64" i="62"/>
  <c r="D97" i="64"/>
  <c r="C66" i="1"/>
  <c r="C69" i="1" s="1"/>
  <c r="D68" i="61"/>
  <c r="J68" i="61" s="1"/>
  <c r="N68" i="61" s="1"/>
  <c r="D68" i="62"/>
  <c r="D102" i="64"/>
  <c r="AD101" i="64"/>
  <c r="D65" i="62"/>
  <c r="D98" i="64"/>
  <c r="D65" i="61"/>
  <c r="N65" i="61" s="1"/>
  <c r="F25" i="4"/>
  <c r="G25" i="4"/>
  <c r="F24" i="4"/>
  <c r="G24" i="4"/>
  <c r="AK94" i="64"/>
  <c r="D73" i="1"/>
  <c r="L75" i="61"/>
  <c r="N75" i="61" s="1"/>
  <c r="D91" i="61"/>
  <c r="J91" i="61" s="1"/>
  <c r="F13" i="41"/>
  <c r="G13" i="41" s="1"/>
  <c r="H13" i="41" s="1"/>
  <c r="I13" i="41" s="1"/>
  <c r="J13" i="41" s="1"/>
  <c r="K13" i="41" s="1"/>
  <c r="L13" i="41" s="1"/>
  <c r="M13" i="41" s="1"/>
  <c r="N13" i="41" s="1"/>
  <c r="O13" i="41" s="1"/>
  <c r="P13" i="41" s="1"/>
  <c r="Q13" i="41" s="1"/>
  <c r="R13" i="41" s="1"/>
  <c r="S13" i="41" s="1"/>
  <c r="T13" i="41" s="1"/>
  <c r="U13" i="41" s="1"/>
  <c r="V13" i="41" s="1"/>
  <c r="W13" i="41" s="1"/>
  <c r="X13" i="41" s="1"/>
  <c r="Y13" i="41" s="1"/>
  <c r="Z13" i="41" s="1"/>
  <c r="AA13" i="41" s="1"/>
  <c r="AB13" i="41" s="1"/>
  <c r="AC13" i="41" s="1"/>
  <c r="AD13" i="41" s="1"/>
  <c r="AE13" i="41" s="1"/>
  <c r="AF13" i="41" s="1"/>
  <c r="AG13" i="41" s="1"/>
  <c r="AH13" i="41" s="1"/>
  <c r="AI13" i="41" s="1"/>
  <c r="H20" i="4"/>
  <c r="F8" i="41"/>
  <c r="E17" i="4"/>
  <c r="D23" i="43"/>
  <c r="E15" i="43"/>
  <c r="G23" i="43"/>
  <c r="F28" i="43"/>
  <c r="G28" i="43" s="1"/>
  <c r="I64" i="62" l="1"/>
  <c r="L64" i="62" s="1"/>
  <c r="B69" i="1"/>
  <c r="C21" i="4" s="1"/>
  <c r="D21" i="4" s="1"/>
  <c r="F98" i="64"/>
  <c r="K98" i="64" s="1"/>
  <c r="K127" i="64" s="1"/>
  <c r="V98" i="64"/>
  <c r="V127" i="64" s="1"/>
  <c r="AF98" i="64"/>
  <c r="H98" i="64"/>
  <c r="H127" i="64" s="1"/>
  <c r="P98" i="64"/>
  <c r="P127" i="64" s="1"/>
  <c r="AC98" i="64"/>
  <c r="R97" i="64"/>
  <c r="R130" i="64" s="1"/>
  <c r="G97" i="64"/>
  <c r="G130" i="64" s="1"/>
  <c r="AD97" i="64"/>
  <c r="AD130" i="64" s="1"/>
  <c r="G21" i="4"/>
  <c r="F21" i="4"/>
  <c r="I65" i="62"/>
  <c r="L65" i="62" s="1"/>
  <c r="AJ101" i="64"/>
  <c r="AK101" i="64" s="1"/>
  <c r="AD123" i="64"/>
  <c r="D87" i="61"/>
  <c r="J87" i="61" s="1"/>
  <c r="L64" i="61"/>
  <c r="N64" i="61" s="1"/>
  <c r="F17" i="41"/>
  <c r="G17" i="41" s="1"/>
  <c r="H17" i="41" s="1"/>
  <c r="I17" i="41" s="1"/>
  <c r="J17" i="41" s="1"/>
  <c r="K17" i="41" s="1"/>
  <c r="L17" i="41" s="1"/>
  <c r="M17" i="41" s="1"/>
  <c r="N17" i="41" s="1"/>
  <c r="O17" i="41" s="1"/>
  <c r="P17" i="41" s="1"/>
  <c r="Q17" i="41" s="1"/>
  <c r="R17" i="41" s="1"/>
  <c r="S17" i="41" s="1"/>
  <c r="T17" i="41" s="1"/>
  <c r="U17" i="41" s="1"/>
  <c r="V17" i="41" s="1"/>
  <c r="W17" i="41" s="1"/>
  <c r="X17" i="41" s="1"/>
  <c r="Y17" i="41" s="1"/>
  <c r="Z17" i="41" s="1"/>
  <c r="AA17" i="41" s="1"/>
  <c r="AB17" i="41" s="1"/>
  <c r="AC17" i="41" s="1"/>
  <c r="AD17" i="41" s="1"/>
  <c r="AE17" i="41" s="1"/>
  <c r="AF17" i="41" s="1"/>
  <c r="AG17" i="41" s="1"/>
  <c r="AH17" i="41" s="1"/>
  <c r="AI17" i="41" s="1"/>
  <c r="H24" i="4"/>
  <c r="F102" i="64"/>
  <c r="AD102" i="64" s="1"/>
  <c r="I68" i="62"/>
  <c r="L68" i="62" s="1"/>
  <c r="G9" i="58"/>
  <c r="C78" i="1"/>
  <c r="G10" i="58" s="1"/>
  <c r="I10" i="58" s="1"/>
  <c r="F18" i="41"/>
  <c r="G18" i="41" s="1"/>
  <c r="H18" i="41" s="1"/>
  <c r="I18" i="41" s="1"/>
  <c r="H25" i="4"/>
  <c r="B73" i="1"/>
  <c r="E73" i="1"/>
  <c r="G23" i="4"/>
  <c r="D79" i="1"/>
  <c r="D90" i="1" s="1"/>
  <c r="E90" i="1" s="1"/>
  <c r="D28" i="43"/>
  <c r="E28" i="43" s="1"/>
  <c r="E23" i="43"/>
  <c r="G8" i="41"/>
  <c r="F10" i="41"/>
  <c r="O98" i="64" l="1"/>
  <c r="O127" i="64" s="1"/>
  <c r="W98" i="64"/>
  <c r="W127" i="64" s="1"/>
  <c r="AJ102" i="64"/>
  <c r="AK102" i="64" s="1"/>
  <c r="N98" i="64"/>
  <c r="N127" i="64" s="1"/>
  <c r="G98" i="64"/>
  <c r="G127" i="64" s="1"/>
  <c r="AB98" i="64"/>
  <c r="AD98" i="64"/>
  <c r="AH98" i="64"/>
  <c r="AH127" i="64" s="1"/>
  <c r="T98" i="64"/>
  <c r="T127" i="64" s="1"/>
  <c r="AA98" i="64"/>
  <c r="S98" i="64"/>
  <c r="S127" i="64" s="1"/>
  <c r="AE98" i="64"/>
  <c r="Q98" i="64"/>
  <c r="Q127" i="64" s="1"/>
  <c r="R98" i="64"/>
  <c r="R127" i="64" s="1"/>
  <c r="L98" i="64"/>
  <c r="L127" i="64" s="1"/>
  <c r="AI98" i="64"/>
  <c r="AI127" i="64" s="1"/>
  <c r="I98" i="64"/>
  <c r="I127" i="64" s="1"/>
  <c r="J98" i="64"/>
  <c r="J127" i="64" s="1"/>
  <c r="Y98" i="64"/>
  <c r="Y127" i="64" s="1"/>
  <c r="M98" i="64"/>
  <c r="M127" i="64" s="1"/>
  <c r="Z98" i="64"/>
  <c r="Z127" i="64" s="1"/>
  <c r="U98" i="64"/>
  <c r="U127" i="64" s="1"/>
  <c r="AG98" i="64"/>
  <c r="H21" i="4"/>
  <c r="F14" i="41"/>
  <c r="G14" i="41" s="1"/>
  <c r="H14" i="41" s="1"/>
  <c r="I14" i="41" s="1"/>
  <c r="J14" i="41" s="1"/>
  <c r="K14" i="41" s="1"/>
  <c r="L14" i="41" s="1"/>
  <c r="M14" i="41" s="1"/>
  <c r="N14" i="41" s="1"/>
  <c r="O14" i="41" s="1"/>
  <c r="P14" i="41" s="1"/>
  <c r="Q14" i="41" s="1"/>
  <c r="R14" i="41" s="1"/>
  <c r="S14" i="41" s="1"/>
  <c r="T14" i="41" s="1"/>
  <c r="U14" i="41" s="1"/>
  <c r="V14" i="41" s="1"/>
  <c r="W14" i="41" s="1"/>
  <c r="X14" i="41" s="1"/>
  <c r="Y14" i="41" s="1"/>
  <c r="Z14" i="41" s="1"/>
  <c r="AA14" i="41" s="1"/>
  <c r="AB14" i="41" s="1"/>
  <c r="AC14" i="41" s="1"/>
  <c r="AD14" i="41" s="1"/>
  <c r="AE14" i="41" s="1"/>
  <c r="AF14" i="41" s="1"/>
  <c r="AG14" i="41" s="1"/>
  <c r="AH14" i="41" s="1"/>
  <c r="AI14" i="41" s="1"/>
  <c r="G28" i="58"/>
  <c r="I9" i="58"/>
  <c r="AJ97" i="64"/>
  <c r="AK97" i="64" s="1"/>
  <c r="X98" i="64"/>
  <c r="X127" i="64" s="1"/>
  <c r="H23" i="4"/>
  <c r="F16" i="41"/>
  <c r="G16" i="41" s="1"/>
  <c r="H16" i="41" s="1"/>
  <c r="I16" i="41" s="1"/>
  <c r="J16" i="41" s="1"/>
  <c r="K16" i="41" s="1"/>
  <c r="L16" i="41" s="1"/>
  <c r="M16" i="41" s="1"/>
  <c r="N16" i="41" s="1"/>
  <c r="O16" i="41" s="1"/>
  <c r="P16" i="41" s="1"/>
  <c r="Q16" i="41" s="1"/>
  <c r="R16" i="41" s="1"/>
  <c r="S16" i="41" s="1"/>
  <c r="T16" i="41" s="1"/>
  <c r="U16" i="41" s="1"/>
  <c r="V16" i="41" s="1"/>
  <c r="W16" i="41" s="1"/>
  <c r="X16" i="41" s="1"/>
  <c r="Y16" i="41" s="1"/>
  <c r="Z16" i="41" s="1"/>
  <c r="AA16" i="41" s="1"/>
  <c r="AB16" i="41" s="1"/>
  <c r="AC16" i="41" s="1"/>
  <c r="AD16" i="41" s="1"/>
  <c r="AE16" i="41" s="1"/>
  <c r="AF16" i="41" s="1"/>
  <c r="AG16" i="41" s="1"/>
  <c r="AH16" i="41" s="1"/>
  <c r="AI16" i="41" s="1"/>
  <c r="C23" i="4"/>
  <c r="D23" i="4" s="1"/>
  <c r="C73" i="1"/>
  <c r="B79" i="1"/>
  <c r="H8" i="41"/>
  <c r="G10" i="41"/>
  <c r="J18" i="41"/>
  <c r="AJ98" i="64" l="1"/>
  <c r="C22" i="4"/>
  <c r="B90" i="1"/>
  <c r="E23" i="4"/>
  <c r="C79" i="1"/>
  <c r="C90" i="1" s="1"/>
  <c r="H10" i="41"/>
  <c r="I8" i="41"/>
  <c r="K18" i="41"/>
  <c r="AK98" i="64" l="1"/>
  <c r="F23" i="4"/>
  <c r="E22" i="4"/>
  <c r="C28" i="4"/>
  <c r="C30" i="4" s="1"/>
  <c r="C65" i="2" s="1"/>
  <c r="D22" i="4"/>
  <c r="D28" i="4" s="1"/>
  <c r="J8" i="41"/>
  <c r="I10" i="41"/>
  <c r="L18" i="41"/>
  <c r="C67" i="2" l="1"/>
  <c r="C68" i="2" s="1"/>
  <c r="C30" i="2" s="1"/>
  <c r="F22" i="4"/>
  <c r="F28" i="4" s="1"/>
  <c r="E28" i="4"/>
  <c r="E30" i="4" s="1"/>
  <c r="G22" i="4"/>
  <c r="J10" i="41"/>
  <c r="K8" i="41"/>
  <c r="M18" i="41"/>
  <c r="G28" i="4" l="1"/>
  <c r="H22" i="4"/>
  <c r="H28" i="4" s="1"/>
  <c r="F15" i="41"/>
  <c r="D30" i="2"/>
  <c r="D94" i="62"/>
  <c r="K10" i="41"/>
  <c r="L8" i="41"/>
  <c r="N18" i="41"/>
  <c r="F20" i="41" l="1"/>
  <c r="F27" i="41" s="1"/>
  <c r="G15" i="41"/>
  <c r="G30" i="4"/>
  <c r="G35" i="4"/>
  <c r="M8" i="41"/>
  <c r="L10" i="41"/>
  <c r="O18" i="41"/>
  <c r="G34" i="4" l="1"/>
  <c r="L15" i="4" s="1"/>
  <c r="H9" i="5"/>
  <c r="H11" i="5" s="1"/>
  <c r="H12" i="5" s="1"/>
  <c r="H15" i="41"/>
  <c r="G20" i="41"/>
  <c r="F59" i="41"/>
  <c r="E10" i="5"/>
  <c r="N8" i="41"/>
  <c r="M10" i="41"/>
  <c r="P18" i="41"/>
  <c r="G59" i="41" l="1"/>
  <c r="I15" i="41"/>
  <c r="H20" i="41"/>
  <c r="L16" i="4"/>
  <c r="L22" i="4" s="1"/>
  <c r="M15" i="4"/>
  <c r="O8" i="41"/>
  <c r="N10" i="41"/>
  <c r="E12" i="5"/>
  <c r="D39" i="23"/>
  <c r="D59" i="23" s="1"/>
  <c r="D12" i="5"/>
  <c r="B9" i="5"/>
  <c r="Q18" i="41"/>
  <c r="M16" i="4" l="1"/>
  <c r="H59" i="41"/>
  <c r="J15" i="41"/>
  <c r="I20" i="41"/>
  <c r="O10" i="41"/>
  <c r="P8" i="41"/>
  <c r="D11" i="34"/>
  <c r="D33" i="5"/>
  <c r="B12" i="5"/>
  <c r="C37" i="2"/>
  <c r="D7" i="34"/>
  <c r="R18" i="41"/>
  <c r="D136" i="64" l="1"/>
  <c r="D116" i="61"/>
  <c r="D101" i="62"/>
  <c r="I59" i="41"/>
  <c r="J20" i="41"/>
  <c r="K15" i="41"/>
  <c r="C23" i="2"/>
  <c r="D52" i="5" s="1"/>
  <c r="L26" i="4"/>
  <c r="M22" i="4"/>
  <c r="D37" i="2"/>
  <c r="C24" i="2"/>
  <c r="Q8" i="41"/>
  <c r="P10" i="41"/>
  <c r="S18" i="41"/>
  <c r="E102" i="61" l="1"/>
  <c r="D88" i="62"/>
  <c r="F83" i="62" s="1"/>
  <c r="F136" i="64"/>
  <c r="J136" i="64" s="1"/>
  <c r="E1" i="33"/>
  <c r="P26" i="4"/>
  <c r="E1" i="36"/>
  <c r="C7" i="36" s="1"/>
  <c r="D87" i="62"/>
  <c r="D23" i="2"/>
  <c r="B9" i="57"/>
  <c r="K20" i="41"/>
  <c r="L15" i="41"/>
  <c r="J59" i="41"/>
  <c r="R8" i="41"/>
  <c r="Q10" i="41"/>
  <c r="D9" i="34"/>
  <c r="L39" i="4"/>
  <c r="L40" i="4" s="1"/>
  <c r="C9" i="2"/>
  <c r="D24" i="2"/>
  <c r="T18" i="41"/>
  <c r="D122" i="64" l="1"/>
  <c r="D102" i="61"/>
  <c r="G96" i="61" s="1"/>
  <c r="M15" i="41"/>
  <c r="L20" i="41"/>
  <c r="K59" i="41"/>
  <c r="B25" i="57"/>
  <c r="F25" i="57" s="1"/>
  <c r="B26" i="57"/>
  <c r="F70" i="36"/>
  <c r="F42" i="36"/>
  <c r="F258" i="36"/>
  <c r="F230" i="36"/>
  <c r="F329" i="36"/>
  <c r="F412" i="36"/>
  <c r="F416" i="36"/>
  <c r="I13" i="36"/>
  <c r="F420" i="36"/>
  <c r="F277" i="36"/>
  <c r="F11" i="36"/>
  <c r="F114" i="36"/>
  <c r="F191" i="36"/>
  <c r="F290" i="36"/>
  <c r="F270" i="36"/>
  <c r="F19" i="36"/>
  <c r="F122" i="36"/>
  <c r="F199" i="36"/>
  <c r="F298" i="36"/>
  <c r="F278" i="36"/>
  <c r="F251" i="36"/>
  <c r="F341" i="36"/>
  <c r="I14" i="36"/>
  <c r="F91" i="36"/>
  <c r="F168" i="36"/>
  <c r="F103" i="36"/>
  <c r="F370" i="36"/>
  <c r="F350" i="36"/>
  <c r="F433" i="36"/>
  <c r="F445" i="36"/>
  <c r="F60" i="36"/>
  <c r="F32" i="36"/>
  <c r="F248" i="36"/>
  <c r="F220" i="36"/>
  <c r="F319" i="36"/>
  <c r="F291" i="36"/>
  <c r="F132" i="36"/>
  <c r="F104" i="36"/>
  <c r="F181" i="36"/>
  <c r="F161" i="36"/>
  <c r="F243" i="36"/>
  <c r="F363" i="36"/>
  <c r="F462" i="36"/>
  <c r="F129" i="36"/>
  <c r="F219" i="36"/>
  <c r="J9" i="36"/>
  <c r="F394" i="36"/>
  <c r="F105" i="36"/>
  <c r="F10" i="36"/>
  <c r="F380" i="36"/>
  <c r="I16" i="36"/>
  <c r="I8" i="36"/>
  <c r="F253" i="36"/>
  <c r="I11" i="36"/>
  <c r="F382" i="36"/>
  <c r="F239" i="36"/>
  <c r="F116" i="36"/>
  <c r="F189" i="36"/>
  <c r="F406" i="36"/>
  <c r="F41" i="36"/>
  <c r="F294" i="36"/>
  <c r="F45" i="36"/>
  <c r="F215" i="36"/>
  <c r="F134" i="36"/>
  <c r="F106" i="36"/>
  <c r="F183" i="36"/>
  <c r="F282" i="36"/>
  <c r="F262" i="36"/>
  <c r="F476" i="36"/>
  <c r="F480" i="36"/>
  <c r="J16" i="36"/>
  <c r="F484" i="36"/>
  <c r="F429" i="36"/>
  <c r="F75" i="36"/>
  <c r="F152" i="36"/>
  <c r="F255" i="36"/>
  <c r="F354" i="36"/>
  <c r="F481" i="36"/>
  <c r="F83" i="36"/>
  <c r="F160" i="36"/>
  <c r="F39" i="36"/>
  <c r="F362" i="36"/>
  <c r="F342" i="36"/>
  <c r="F425" i="36"/>
  <c r="F437" i="36"/>
  <c r="F44" i="36"/>
  <c r="F16" i="36"/>
  <c r="F232" i="36"/>
  <c r="F204" i="36"/>
  <c r="F303" i="36"/>
  <c r="F275" i="36"/>
  <c r="F349" i="36"/>
  <c r="F386" i="36"/>
  <c r="F124" i="36"/>
  <c r="F96" i="36"/>
  <c r="F173" i="36"/>
  <c r="F153" i="36"/>
  <c r="F179" i="36"/>
  <c r="F355" i="36"/>
  <c r="F57" i="36"/>
  <c r="F37" i="36"/>
  <c r="F245" i="36"/>
  <c r="F225" i="36"/>
  <c r="F316" i="36"/>
  <c r="F288" i="36"/>
  <c r="F403" i="36"/>
  <c r="F123" i="36"/>
  <c r="F171" i="36"/>
  <c r="F407" i="36"/>
  <c r="J18" i="36"/>
  <c r="F176" i="36"/>
  <c r="F240" i="36"/>
  <c r="F465" i="36"/>
  <c r="F48" i="36"/>
  <c r="F151" i="36"/>
  <c r="F338" i="36"/>
  <c r="F76" i="36"/>
  <c r="F456" i="36"/>
  <c r="F296" i="36"/>
  <c r="F102" i="36"/>
  <c r="F175" i="36"/>
  <c r="F459" i="36"/>
  <c r="F35" i="36"/>
  <c r="F272" i="36"/>
  <c r="F324" i="36"/>
  <c r="F475" i="36"/>
  <c r="F67" i="36"/>
  <c r="F144" i="36"/>
  <c r="F247" i="36"/>
  <c r="F346" i="36"/>
  <c r="F326" i="36"/>
  <c r="F409" i="36"/>
  <c r="F421" i="36"/>
  <c r="F334" i="36"/>
  <c r="F417" i="36"/>
  <c r="F28" i="36"/>
  <c r="F139" i="36"/>
  <c r="F216" i="36"/>
  <c r="F188" i="36"/>
  <c r="F287" i="36"/>
  <c r="F36" i="36"/>
  <c r="F8" i="36"/>
  <c r="F224" i="36"/>
  <c r="F196" i="36"/>
  <c r="F295" i="36"/>
  <c r="F267" i="36"/>
  <c r="F285" i="36"/>
  <c r="F378" i="36"/>
  <c r="F108" i="36"/>
  <c r="F80" i="36"/>
  <c r="F157" i="36"/>
  <c r="F79" i="36"/>
  <c r="F367" i="36"/>
  <c r="F339" i="36"/>
  <c r="F438" i="36"/>
  <c r="F450" i="36"/>
  <c r="F49" i="36"/>
  <c r="F29" i="36"/>
  <c r="F237" i="36"/>
  <c r="F217" i="36"/>
  <c r="F308" i="36"/>
  <c r="F280" i="36"/>
  <c r="F121" i="36"/>
  <c r="F101" i="36"/>
  <c r="F178" i="36"/>
  <c r="F150" i="36"/>
  <c r="F155" i="36"/>
  <c r="F352" i="36"/>
  <c r="F467" i="36"/>
  <c r="F109" i="36"/>
  <c r="F360" i="36"/>
  <c r="J13" i="36"/>
  <c r="F65" i="36"/>
  <c r="F31" i="36"/>
  <c r="F226" i="36"/>
  <c r="F395" i="36"/>
  <c r="F236" i="36"/>
  <c r="F163" i="36"/>
  <c r="F454" i="36"/>
  <c r="F62" i="36"/>
  <c r="J10" i="36"/>
  <c r="F413" i="36"/>
  <c r="F88" i="36"/>
  <c r="F169" i="36"/>
  <c r="F389" i="36"/>
  <c r="F21" i="36"/>
  <c r="F373" i="36"/>
  <c r="F418" i="36"/>
  <c r="F486" i="36"/>
  <c r="F20" i="36"/>
  <c r="F131" i="36"/>
  <c r="F208" i="36"/>
  <c r="F180" i="36"/>
  <c r="F279" i="36"/>
  <c r="F235" i="36"/>
  <c r="F473" i="36"/>
  <c r="F485" i="36"/>
  <c r="F259" i="36"/>
  <c r="F422" i="36"/>
  <c r="F92" i="36"/>
  <c r="F64" i="36"/>
  <c r="F141" i="36"/>
  <c r="F252" i="36"/>
  <c r="F351" i="36"/>
  <c r="F100" i="36"/>
  <c r="F72" i="36"/>
  <c r="F149" i="36"/>
  <c r="F15" i="36"/>
  <c r="F359" i="36"/>
  <c r="F331" i="36"/>
  <c r="F430" i="36"/>
  <c r="F442" i="36"/>
  <c r="F33" i="36"/>
  <c r="F13" i="36"/>
  <c r="F221" i="36"/>
  <c r="F201" i="36"/>
  <c r="F292" i="36"/>
  <c r="F264" i="36"/>
  <c r="F379" i="36"/>
  <c r="J14" i="36"/>
  <c r="F113" i="36"/>
  <c r="F93" i="36"/>
  <c r="F170" i="36"/>
  <c r="F142" i="36"/>
  <c r="F372" i="36"/>
  <c r="F344" i="36"/>
  <c r="F54" i="36"/>
  <c r="F26" i="36"/>
  <c r="F242" i="36"/>
  <c r="F214" i="36"/>
  <c r="F313" i="36"/>
  <c r="F396" i="36"/>
  <c r="F400" i="36"/>
  <c r="F200" i="36"/>
  <c r="F449" i="36"/>
  <c r="F307" i="36"/>
  <c r="F135" i="36"/>
  <c r="F441" i="36"/>
  <c r="F212" i="36"/>
  <c r="F448" i="36"/>
  <c r="F335" i="36"/>
  <c r="F347" i="36"/>
  <c r="J7" i="36"/>
  <c r="F34" i="36"/>
  <c r="F165" i="36"/>
  <c r="J8" i="36"/>
  <c r="F74" i="36"/>
  <c r="F274" i="36"/>
  <c r="F402" i="36"/>
  <c r="F138" i="36"/>
  <c r="F446" i="36"/>
  <c r="F99" i="36"/>
  <c r="F401" i="36"/>
  <c r="F84" i="36"/>
  <c r="F56" i="36"/>
  <c r="F111" i="36"/>
  <c r="F244" i="36"/>
  <c r="F343" i="36"/>
  <c r="F315" i="36"/>
  <c r="F414" i="36"/>
  <c r="F426" i="36"/>
  <c r="F323" i="36"/>
  <c r="F261" i="36"/>
  <c r="F17" i="36"/>
  <c r="F128" i="36"/>
  <c r="F205" i="36"/>
  <c r="F185" i="36"/>
  <c r="F276" i="36"/>
  <c r="F25" i="36"/>
  <c r="F136" i="36"/>
  <c r="F213" i="36"/>
  <c r="F193" i="36"/>
  <c r="F284" i="36"/>
  <c r="F211" i="36"/>
  <c r="F325" i="36"/>
  <c r="I9" i="36"/>
  <c r="F97" i="36"/>
  <c r="F77" i="36"/>
  <c r="F154" i="36"/>
  <c r="F55" i="36"/>
  <c r="F356" i="36"/>
  <c r="F328" i="36"/>
  <c r="F443" i="36"/>
  <c r="F455" i="36"/>
  <c r="F46" i="36"/>
  <c r="F18" i="36"/>
  <c r="F234" i="36"/>
  <c r="F206" i="36"/>
  <c r="F305" i="36"/>
  <c r="F388" i="36"/>
  <c r="F118" i="36"/>
  <c r="F90" i="36"/>
  <c r="F167" i="36"/>
  <c r="F266" i="36"/>
  <c r="F377" i="36"/>
  <c r="F460" i="36"/>
  <c r="F464" i="36"/>
  <c r="F186" i="36"/>
  <c r="F387" i="36"/>
  <c r="F474" i="36"/>
  <c r="F233" i="36"/>
  <c r="F434" i="36"/>
  <c r="F198" i="36"/>
  <c r="F477" i="36"/>
  <c r="F404" i="36"/>
  <c r="F451" i="36"/>
  <c r="F85" i="36"/>
  <c r="F47" i="36"/>
  <c r="F375" i="36"/>
  <c r="F162" i="36"/>
  <c r="F140" i="36"/>
  <c r="F260" i="36"/>
  <c r="F439" i="36"/>
  <c r="F229" i="36"/>
  <c r="F397" i="36"/>
  <c r="F148" i="36"/>
  <c r="F9" i="36"/>
  <c r="F120" i="36"/>
  <c r="F197" i="36"/>
  <c r="F177" i="36"/>
  <c r="F268" i="36"/>
  <c r="F95" i="36"/>
  <c r="F478" i="36"/>
  <c r="F357" i="36"/>
  <c r="F147" i="36"/>
  <c r="F427" i="36"/>
  <c r="F81" i="36"/>
  <c r="F61" i="36"/>
  <c r="F87" i="36"/>
  <c r="F249" i="36"/>
  <c r="F340" i="36"/>
  <c r="F89" i="36"/>
  <c r="F69" i="36"/>
  <c r="F146" i="36"/>
  <c r="F257" i="36"/>
  <c r="F348" i="36"/>
  <c r="F320" i="36"/>
  <c r="F435" i="36"/>
  <c r="F391" i="36"/>
  <c r="F30" i="36"/>
  <c r="D7" i="36"/>
  <c r="F218" i="36"/>
  <c r="F190" i="36"/>
  <c r="F289" i="36"/>
  <c r="F333" i="36"/>
  <c r="F365" i="36"/>
  <c r="J15" i="36"/>
  <c r="F110" i="36"/>
  <c r="F82" i="36"/>
  <c r="F159" i="36"/>
  <c r="F227" i="36"/>
  <c r="F369" i="36"/>
  <c r="F452" i="36"/>
  <c r="F51" i="36"/>
  <c r="F71" i="36"/>
  <c r="F231" i="36"/>
  <c r="F330" i="36"/>
  <c r="F310" i="36"/>
  <c r="F393" i="36"/>
  <c r="F405" i="36"/>
  <c r="F172" i="36"/>
  <c r="F408" i="36"/>
  <c r="F145" i="36"/>
  <c r="F318" i="36"/>
  <c r="F52" i="36"/>
  <c r="F311" i="36"/>
  <c r="F466" i="36"/>
  <c r="F411" i="36"/>
  <c r="F482" i="36"/>
  <c r="F119" i="36"/>
  <c r="F250" i="36"/>
  <c r="F444" i="36"/>
  <c r="F364" i="36"/>
  <c r="F126" i="36"/>
  <c r="F195" i="36"/>
  <c r="I15" i="36"/>
  <c r="K15" i="36" s="1"/>
  <c r="F209" i="36"/>
  <c r="F410" i="36"/>
  <c r="F358" i="36"/>
  <c r="F73" i="36"/>
  <c r="F53" i="36"/>
  <c r="F23" i="36"/>
  <c r="F241" i="36"/>
  <c r="F332" i="36"/>
  <c r="F304" i="36"/>
  <c r="F419" i="36"/>
  <c r="I12" i="36"/>
  <c r="F312" i="36"/>
  <c r="F187" i="36"/>
  <c r="F14" i="36"/>
  <c r="F125" i="36"/>
  <c r="F202" i="36"/>
  <c r="F174" i="36"/>
  <c r="F273" i="36"/>
  <c r="F22" i="36"/>
  <c r="F133" i="36"/>
  <c r="F210" i="36"/>
  <c r="F182" i="36"/>
  <c r="F281" i="36"/>
  <c r="F269" i="36"/>
  <c r="F301" i="36"/>
  <c r="I10" i="36"/>
  <c r="F94" i="36"/>
  <c r="F66" i="36"/>
  <c r="F143" i="36"/>
  <c r="F254" i="36"/>
  <c r="F353" i="36"/>
  <c r="F436" i="36"/>
  <c r="F440" i="36"/>
  <c r="F447" i="36"/>
  <c r="F43" i="36"/>
  <c r="F7" i="36"/>
  <c r="F223" i="36"/>
  <c r="F322" i="36"/>
  <c r="F302" i="36"/>
  <c r="F385" i="36"/>
  <c r="F115" i="36"/>
  <c r="F192" i="36"/>
  <c r="F164" i="36"/>
  <c r="F263" i="36"/>
  <c r="F374" i="36"/>
  <c r="F457" i="36"/>
  <c r="F469" i="36"/>
  <c r="F158" i="36"/>
  <c r="F461" i="36"/>
  <c r="F361" i="36"/>
  <c r="F384" i="36"/>
  <c r="F38" i="36"/>
  <c r="F297" i="36"/>
  <c r="J17" i="36"/>
  <c r="F317" i="36"/>
  <c r="F463" i="36"/>
  <c r="F336" i="36"/>
  <c r="F222" i="36"/>
  <c r="F472" i="36"/>
  <c r="F470" i="36"/>
  <c r="F112" i="36"/>
  <c r="F371" i="36"/>
  <c r="F423" i="36"/>
  <c r="F314" i="36"/>
  <c r="I17" i="36"/>
  <c r="F392" i="36"/>
  <c r="F137" i="36"/>
  <c r="F117" i="36"/>
  <c r="F194" i="36"/>
  <c r="F166" i="36"/>
  <c r="F265" i="36"/>
  <c r="F368" i="36"/>
  <c r="F483" i="36"/>
  <c r="F431" i="36"/>
  <c r="F376" i="36"/>
  <c r="F424" i="36"/>
  <c r="F78" i="36"/>
  <c r="F50" i="36"/>
  <c r="F63" i="36"/>
  <c r="F238" i="36"/>
  <c r="F337" i="36"/>
  <c r="F86" i="36"/>
  <c r="F58" i="36"/>
  <c r="F127" i="36"/>
  <c r="F246" i="36"/>
  <c r="F345" i="36"/>
  <c r="F428" i="36"/>
  <c r="F432" i="36"/>
  <c r="F383" i="36"/>
  <c r="F27" i="36"/>
  <c r="F130" i="36"/>
  <c r="F207" i="36"/>
  <c r="F306" i="36"/>
  <c r="F286" i="36"/>
  <c r="F309" i="36"/>
  <c r="F381" i="36"/>
  <c r="F399" i="36"/>
  <c r="F107" i="36"/>
  <c r="F184" i="36"/>
  <c r="F156" i="36"/>
  <c r="F203" i="36"/>
  <c r="F366" i="36"/>
  <c r="F68" i="36"/>
  <c r="F40" i="36"/>
  <c r="F256" i="36"/>
  <c r="F228" i="36"/>
  <c r="F327" i="36"/>
  <c r="F299" i="36"/>
  <c r="F398" i="36"/>
  <c r="F12" i="36"/>
  <c r="F271" i="36"/>
  <c r="F458" i="36"/>
  <c r="F390" i="36"/>
  <c r="F415" i="36"/>
  <c r="F24" i="36"/>
  <c r="F283" i="36"/>
  <c r="F471" i="36"/>
  <c r="I7" i="36"/>
  <c r="K7" i="36" s="1"/>
  <c r="F59" i="36"/>
  <c r="F453" i="36"/>
  <c r="F321" i="36"/>
  <c r="J12" i="36"/>
  <c r="F479" i="36"/>
  <c r="F98" i="36"/>
  <c r="F468" i="36"/>
  <c r="J11" i="36"/>
  <c r="F300" i="36"/>
  <c r="F293" i="36"/>
  <c r="I18" i="36"/>
  <c r="E45" i="33"/>
  <c r="G45" i="33" s="1"/>
  <c r="E20" i="33"/>
  <c r="G20" i="33" s="1"/>
  <c r="E33" i="33"/>
  <c r="G33" i="33" s="1"/>
  <c r="E19" i="33"/>
  <c r="G19" i="33" s="1"/>
  <c r="E32" i="33"/>
  <c r="G32" i="33" s="1"/>
  <c r="E37" i="33"/>
  <c r="G37" i="33" s="1"/>
  <c r="B7" i="33"/>
  <c r="H7" i="33" s="1"/>
  <c r="E38" i="33"/>
  <c r="G38" i="33" s="1"/>
  <c r="E26" i="33"/>
  <c r="G26" i="33" s="1"/>
  <c r="E31" i="33"/>
  <c r="G31" i="33" s="1"/>
  <c r="E41" i="33"/>
  <c r="G41" i="33" s="1"/>
  <c r="E18" i="33"/>
  <c r="G18" i="33" s="1"/>
  <c r="E16" i="33"/>
  <c r="G16" i="33" s="1"/>
  <c r="E21" i="33"/>
  <c r="G21" i="33" s="1"/>
  <c r="E29" i="33"/>
  <c r="G29" i="33" s="1"/>
  <c r="E43" i="33"/>
  <c r="G43" i="33" s="1"/>
  <c r="E9" i="33"/>
  <c r="G9" i="33" s="1"/>
  <c r="E35" i="33"/>
  <c r="G35" i="33" s="1"/>
  <c r="E23" i="33"/>
  <c r="G23" i="33" s="1"/>
  <c r="E28" i="33"/>
  <c r="G28" i="33" s="1"/>
  <c r="E13" i="33"/>
  <c r="G13" i="33" s="1"/>
  <c r="E8" i="33"/>
  <c r="G8" i="33" s="1"/>
  <c r="E11" i="33"/>
  <c r="G11" i="33" s="1"/>
  <c r="E17" i="33"/>
  <c r="G17" i="33" s="1"/>
  <c r="E42" i="33"/>
  <c r="G42" i="33" s="1"/>
  <c r="E34" i="33"/>
  <c r="G34" i="33" s="1"/>
  <c r="E7" i="33"/>
  <c r="E36" i="33"/>
  <c r="G36" i="33" s="1"/>
  <c r="E40" i="33"/>
  <c r="G40" i="33" s="1"/>
  <c r="E14" i="33"/>
  <c r="G14" i="33" s="1"/>
  <c r="E15" i="33"/>
  <c r="G15" i="33" s="1"/>
  <c r="E44" i="33"/>
  <c r="G44" i="33" s="1"/>
  <c r="E27" i="33"/>
  <c r="G27" i="33" s="1"/>
  <c r="E39" i="33"/>
  <c r="G39" i="33" s="1"/>
  <c r="E46" i="33"/>
  <c r="G46" i="33" s="1"/>
  <c r="E10" i="33"/>
  <c r="G10" i="33" s="1"/>
  <c r="E25" i="33"/>
  <c r="G25" i="33" s="1"/>
  <c r="E30" i="33"/>
  <c r="G30" i="33" s="1"/>
  <c r="E12" i="33"/>
  <c r="G12" i="33" s="1"/>
  <c r="E24" i="33"/>
  <c r="G24" i="33" s="1"/>
  <c r="E22" i="33"/>
  <c r="G22" i="33" s="1"/>
  <c r="S8" i="41"/>
  <c r="R10" i="41"/>
  <c r="D9" i="2"/>
  <c r="C11" i="58"/>
  <c r="F9" i="2"/>
  <c r="C8" i="58"/>
  <c r="U18" i="41"/>
  <c r="K18" i="36" l="1"/>
  <c r="K17" i="36"/>
  <c r="K9" i="36"/>
  <c r="K10" i="36"/>
  <c r="G102" i="61"/>
  <c r="F122" i="64"/>
  <c r="AJ122" i="64" s="1"/>
  <c r="AK122" i="64" s="1"/>
  <c r="E7" i="36"/>
  <c r="G7" i="36" s="1"/>
  <c r="C8" i="36" s="1"/>
  <c r="D8" i="36" s="1"/>
  <c r="E8" i="36" s="1"/>
  <c r="G8" i="36" s="1"/>
  <c r="C9" i="36" s="1"/>
  <c r="D9" i="36" s="1"/>
  <c r="E9" i="36" s="1"/>
  <c r="K13" i="36"/>
  <c r="F26" i="57"/>
  <c r="C46" i="57"/>
  <c r="C50" i="57" s="1"/>
  <c r="K14" i="36"/>
  <c r="K11" i="36"/>
  <c r="F17" i="33"/>
  <c r="B18" i="33" s="1"/>
  <c r="F8" i="33"/>
  <c r="B9" i="33" s="1"/>
  <c r="F28" i="33"/>
  <c r="B29" i="33" s="1"/>
  <c r="F7" i="33"/>
  <c r="F9" i="33"/>
  <c r="B10" i="33" s="1"/>
  <c r="F20" i="33"/>
  <c r="B21" i="33" s="1"/>
  <c r="F44" i="33"/>
  <c r="B45" i="33" s="1"/>
  <c r="F12" i="33"/>
  <c r="B13" i="33" s="1"/>
  <c r="F33" i="33"/>
  <c r="B34" i="33" s="1"/>
  <c r="F27" i="33"/>
  <c r="B28" i="33" s="1"/>
  <c r="F14" i="33"/>
  <c r="B15" i="33" s="1"/>
  <c r="F38" i="33"/>
  <c r="B39" i="33" s="1"/>
  <c r="F10" i="33"/>
  <c r="B11" i="33" s="1"/>
  <c r="F36" i="33"/>
  <c r="B37" i="33" s="1"/>
  <c r="F43" i="33"/>
  <c r="B44" i="33" s="1"/>
  <c r="F37" i="33"/>
  <c r="B38" i="33" s="1"/>
  <c r="F46" i="33"/>
  <c r="F40" i="33"/>
  <c r="B41" i="33" s="1"/>
  <c r="F24" i="33"/>
  <c r="B25" i="33" s="1"/>
  <c r="F32" i="33"/>
  <c r="B33" i="33" s="1"/>
  <c r="F22" i="33"/>
  <c r="B23" i="33" s="1"/>
  <c r="F41" i="33"/>
  <c r="F13" i="33"/>
  <c r="B14" i="33" s="1"/>
  <c r="F21" i="33"/>
  <c r="B22" i="33" s="1"/>
  <c r="F19" i="33"/>
  <c r="B20" i="33" s="1"/>
  <c r="F29" i="33"/>
  <c r="B30" i="33" s="1"/>
  <c r="F42" i="33"/>
  <c r="B43" i="33" s="1"/>
  <c r="G7" i="33"/>
  <c r="I7" i="33" s="1"/>
  <c r="L34" i="4" s="1"/>
  <c r="L35" i="4" s="1"/>
  <c r="F26" i="33"/>
  <c r="B27" i="33" s="1"/>
  <c r="F15" i="33"/>
  <c r="B16" i="33" s="1"/>
  <c r="F23" i="33"/>
  <c r="B24" i="33" s="1"/>
  <c r="F16" i="33"/>
  <c r="B17" i="33" s="1"/>
  <c r="F18" i="33"/>
  <c r="B19" i="33" s="1"/>
  <c r="F11" i="33"/>
  <c r="B12" i="33" s="1"/>
  <c r="F35" i="33"/>
  <c r="B36" i="33" s="1"/>
  <c r="F45" i="33"/>
  <c r="B46" i="33" s="1"/>
  <c r="F34" i="33"/>
  <c r="B35" i="33" s="1"/>
  <c r="F39" i="33"/>
  <c r="B40" i="33" s="1"/>
  <c r="F25" i="33"/>
  <c r="B26" i="33" s="1"/>
  <c r="F31" i="33"/>
  <c r="B32" i="33" s="1"/>
  <c r="F30" i="33"/>
  <c r="B31" i="33" s="1"/>
  <c r="K8" i="36"/>
  <c r="L59" i="41"/>
  <c r="K12" i="36"/>
  <c r="K16" i="36"/>
  <c r="M20" i="41"/>
  <c r="N15" i="41"/>
  <c r="T8" i="41"/>
  <c r="S10" i="41"/>
  <c r="V18" i="41"/>
  <c r="G9" i="36" l="1"/>
  <c r="C10" i="36" s="1"/>
  <c r="D10" i="36" s="1"/>
  <c r="E10" i="36" s="1"/>
  <c r="P34" i="4"/>
  <c r="P35" i="4" s="1"/>
  <c r="D36" i="33"/>
  <c r="C36" i="33" s="1"/>
  <c r="H36" i="33"/>
  <c r="I36" i="33" s="1"/>
  <c r="H43" i="33"/>
  <c r="I43" i="33" s="1"/>
  <c r="D43" i="33"/>
  <c r="C43" i="33" s="1"/>
  <c r="D25" i="33"/>
  <c r="C25" i="33" s="1"/>
  <c r="H25" i="33"/>
  <c r="I25" i="33" s="1"/>
  <c r="H15" i="33"/>
  <c r="I15" i="33" s="1"/>
  <c r="D15" i="33"/>
  <c r="C15" i="33" s="1"/>
  <c r="D29" i="33"/>
  <c r="C29" i="33" s="1"/>
  <c r="H29" i="33"/>
  <c r="I29" i="33" s="1"/>
  <c r="D12" i="33"/>
  <c r="C12" i="33" s="1"/>
  <c r="H12" i="33"/>
  <c r="I12" i="33" s="1"/>
  <c r="H30" i="33"/>
  <c r="I30" i="33" s="1"/>
  <c r="D30" i="33"/>
  <c r="C30" i="33" s="1"/>
  <c r="H41" i="33"/>
  <c r="I41" i="33" s="1"/>
  <c r="D41" i="33"/>
  <c r="C41" i="33" s="1"/>
  <c r="H28" i="33"/>
  <c r="I28" i="33" s="1"/>
  <c r="D28" i="33"/>
  <c r="C28" i="33" s="1"/>
  <c r="H9" i="33"/>
  <c r="I9" i="33" s="1"/>
  <c r="D9" i="33"/>
  <c r="C9" i="33" s="1"/>
  <c r="D31" i="33"/>
  <c r="C31" i="33" s="1"/>
  <c r="H31" i="33"/>
  <c r="I31" i="33" s="1"/>
  <c r="H19" i="33"/>
  <c r="I19" i="33" s="1"/>
  <c r="D19" i="33"/>
  <c r="C19" i="33" s="1"/>
  <c r="H20" i="33"/>
  <c r="I20" i="33" s="1"/>
  <c r="D20" i="33"/>
  <c r="C20" i="33" s="1"/>
  <c r="H34" i="33"/>
  <c r="I34" i="33" s="1"/>
  <c r="D34" i="33"/>
  <c r="C34" i="33" s="1"/>
  <c r="D18" i="33"/>
  <c r="C18" i="33" s="1"/>
  <c r="H18" i="33"/>
  <c r="I18" i="33" s="1"/>
  <c r="H32" i="33"/>
  <c r="I32" i="33" s="1"/>
  <c r="D32" i="33"/>
  <c r="C32" i="33" s="1"/>
  <c r="D17" i="33"/>
  <c r="C17" i="33" s="1"/>
  <c r="H17" i="33"/>
  <c r="I17" i="33" s="1"/>
  <c r="D22" i="33"/>
  <c r="C22" i="33" s="1"/>
  <c r="H22" i="33"/>
  <c r="I22" i="33" s="1"/>
  <c r="H38" i="33"/>
  <c r="I38" i="33" s="1"/>
  <c r="D38" i="33"/>
  <c r="C38" i="33" s="1"/>
  <c r="D13" i="33"/>
  <c r="C13" i="33" s="1"/>
  <c r="H13" i="33"/>
  <c r="I13" i="33" s="1"/>
  <c r="M59" i="41"/>
  <c r="D26" i="33"/>
  <c r="C26" i="33" s="1"/>
  <c r="H26" i="33"/>
  <c r="I26" i="33" s="1"/>
  <c r="H24" i="33"/>
  <c r="I24" i="33" s="1"/>
  <c r="D24" i="33"/>
  <c r="C24" i="33" s="1"/>
  <c r="H14" i="33"/>
  <c r="I14" i="33" s="1"/>
  <c r="D14" i="33"/>
  <c r="C14" i="33" s="1"/>
  <c r="D44" i="33"/>
  <c r="C44" i="33" s="1"/>
  <c r="H44" i="33"/>
  <c r="I44" i="33" s="1"/>
  <c r="D45" i="33"/>
  <c r="C45" i="33" s="1"/>
  <c r="H45" i="33"/>
  <c r="I45" i="33" s="1"/>
  <c r="H40" i="33"/>
  <c r="I40" i="33" s="1"/>
  <c r="D40" i="33"/>
  <c r="C40" i="33" s="1"/>
  <c r="D16" i="33"/>
  <c r="C16" i="33" s="1"/>
  <c r="H16" i="33"/>
  <c r="I16" i="33" s="1"/>
  <c r="B42" i="33"/>
  <c r="H37" i="33"/>
  <c r="I37" i="33" s="1"/>
  <c r="D37" i="33"/>
  <c r="C37" i="33" s="1"/>
  <c r="H21" i="33"/>
  <c r="I21" i="33" s="1"/>
  <c r="D21" i="33"/>
  <c r="C21" i="33" s="1"/>
  <c r="D35" i="33"/>
  <c r="C35" i="33" s="1"/>
  <c r="H35" i="33"/>
  <c r="I35" i="33" s="1"/>
  <c r="H27" i="33"/>
  <c r="I27" i="33" s="1"/>
  <c r="D27" i="33"/>
  <c r="C27" i="33" s="1"/>
  <c r="D23" i="33"/>
  <c r="C23" i="33" s="1"/>
  <c r="H23" i="33"/>
  <c r="I23" i="33" s="1"/>
  <c r="H11" i="33"/>
  <c r="I11" i="33" s="1"/>
  <c r="D11" i="33"/>
  <c r="C11" i="33" s="1"/>
  <c r="D10" i="33"/>
  <c r="C10" i="33" s="1"/>
  <c r="H10" i="33"/>
  <c r="I10" i="33" s="1"/>
  <c r="N20" i="41"/>
  <c r="O15" i="41"/>
  <c r="H46" i="33"/>
  <c r="I46" i="33" s="1"/>
  <c r="D46" i="33"/>
  <c r="C46" i="33" s="1"/>
  <c r="D33" i="33"/>
  <c r="C33" i="33" s="1"/>
  <c r="H33" i="33"/>
  <c r="I33" i="33" s="1"/>
  <c r="H39" i="33"/>
  <c r="I39" i="33" s="1"/>
  <c r="D39" i="33"/>
  <c r="C39" i="33" s="1"/>
  <c r="B8" i="33"/>
  <c r="D7" i="33"/>
  <c r="C7" i="33" s="1"/>
  <c r="U8" i="41"/>
  <c r="T10" i="41"/>
  <c r="W18" i="41"/>
  <c r="P15" i="41" l="1"/>
  <c r="O20" i="41"/>
  <c r="D42" i="33"/>
  <c r="C42" i="33" s="1"/>
  <c r="H42" i="33"/>
  <c r="I42" i="33" s="1"/>
  <c r="H8" i="33"/>
  <c r="I8" i="33" s="1"/>
  <c r="D8" i="33"/>
  <c r="C8" i="33" s="1"/>
  <c r="N59" i="41"/>
  <c r="U10" i="41"/>
  <c r="V8" i="41"/>
  <c r="G10" i="36"/>
  <c r="C11" i="36" s="1"/>
  <c r="X18" i="41"/>
  <c r="O59" i="41" l="1"/>
  <c r="Q15" i="41"/>
  <c r="P20" i="41"/>
  <c r="W8" i="41"/>
  <c r="V10" i="41"/>
  <c r="Y18" i="41"/>
  <c r="D11" i="36"/>
  <c r="E11" i="36" s="1"/>
  <c r="G11" i="36" s="1"/>
  <c r="C12" i="36" s="1"/>
  <c r="R15" i="41" l="1"/>
  <c r="Q20" i="41"/>
  <c r="P63" i="41"/>
  <c r="P64" i="41" s="1"/>
  <c r="P59" i="41"/>
  <c r="W10" i="41"/>
  <c r="X8" i="41"/>
  <c r="D12" i="36"/>
  <c r="E12" i="36" s="1"/>
  <c r="G12" i="36" s="1"/>
  <c r="C13" i="36" s="1"/>
  <c r="Z18" i="41"/>
  <c r="Q63" i="41" l="1"/>
  <c r="Q64" i="41" s="1"/>
  <c r="Q59" i="41"/>
  <c r="S15" i="41"/>
  <c r="R20" i="41"/>
  <c r="Y8" i="41"/>
  <c r="X10" i="41"/>
  <c r="D13" i="36"/>
  <c r="E13" i="36" s="1"/>
  <c r="G13" i="36" s="1"/>
  <c r="C14" i="36" s="1"/>
  <c r="AA18" i="41"/>
  <c r="S20" i="41" l="1"/>
  <c r="T15" i="41"/>
  <c r="R63" i="41"/>
  <c r="R64" i="41" s="1"/>
  <c r="R59" i="41"/>
  <c r="Y10" i="41"/>
  <c r="Z8" i="41"/>
  <c r="D14" i="36"/>
  <c r="E14" i="36" s="1"/>
  <c r="G14" i="36" s="1"/>
  <c r="C15" i="36" s="1"/>
  <c r="AB18" i="41"/>
  <c r="T20" i="41" l="1"/>
  <c r="U15" i="41"/>
  <c r="S63" i="41"/>
  <c r="S64" i="41" s="1"/>
  <c r="S59" i="41"/>
  <c r="AA8" i="41"/>
  <c r="Z10" i="41"/>
  <c r="D15" i="36"/>
  <c r="E15" i="36" s="1"/>
  <c r="G15" i="36" s="1"/>
  <c r="C16" i="36" s="1"/>
  <c r="AC18" i="41"/>
  <c r="T59" i="41" l="1"/>
  <c r="V15" i="41"/>
  <c r="U20" i="41"/>
  <c r="T56" i="41"/>
  <c r="T63" i="41"/>
  <c r="T64" i="41" s="1"/>
  <c r="T57" i="41"/>
  <c r="AB8" i="41"/>
  <c r="AA10" i="41"/>
  <c r="D16" i="36"/>
  <c r="E16" i="36" s="1"/>
  <c r="G16" i="36" s="1"/>
  <c r="C17" i="36" s="1"/>
  <c r="AD18" i="41"/>
  <c r="V20" i="41" l="1"/>
  <c r="W15" i="41"/>
  <c r="AC8" i="41"/>
  <c r="AB10" i="41"/>
  <c r="D17" i="36"/>
  <c r="E17" i="36" s="1"/>
  <c r="G17" i="36" s="1"/>
  <c r="C18" i="36" s="1"/>
  <c r="AE18" i="41"/>
  <c r="W20" i="41" l="1"/>
  <c r="X15" i="41"/>
  <c r="AC10" i="41"/>
  <c r="AD8" i="41"/>
  <c r="AF18" i="41"/>
  <c r="D18" i="36"/>
  <c r="E18" i="36" s="1"/>
  <c r="G18" i="36" s="1"/>
  <c r="Y15" i="41" l="1"/>
  <c r="X20" i="41"/>
  <c r="AE8" i="41"/>
  <c r="AD10" i="41"/>
  <c r="C19" i="36"/>
  <c r="H7" i="36"/>
  <c r="L7" i="36" s="1"/>
  <c r="H15" i="36"/>
  <c r="L15" i="36" s="1"/>
  <c r="H8" i="36"/>
  <c r="L8" i="36" s="1"/>
  <c r="H16" i="36"/>
  <c r="L16" i="36" s="1"/>
  <c r="H11" i="36"/>
  <c r="L11" i="36" s="1"/>
  <c r="H12" i="36"/>
  <c r="L12" i="36" s="1"/>
  <c r="H13" i="36"/>
  <c r="L13" i="36" s="1"/>
  <c r="H10" i="36"/>
  <c r="L10" i="36" s="1"/>
  <c r="H14" i="36"/>
  <c r="L14" i="36" s="1"/>
  <c r="H17" i="36"/>
  <c r="L17" i="36" s="1"/>
  <c r="H18" i="36"/>
  <c r="L18" i="36" s="1"/>
  <c r="H9" i="36"/>
  <c r="L9" i="36" s="1"/>
  <c r="AG18" i="41"/>
  <c r="Z15" i="41" l="1"/>
  <c r="Y20" i="41"/>
  <c r="AF8" i="41"/>
  <c r="AE10" i="41"/>
  <c r="AH18" i="41"/>
  <c r="D19" i="36"/>
  <c r="J22" i="36"/>
  <c r="I25" i="36"/>
  <c r="J30" i="36"/>
  <c r="I20" i="36"/>
  <c r="J25" i="36"/>
  <c r="I28" i="36"/>
  <c r="J20" i="36"/>
  <c r="I23" i="36"/>
  <c r="J28" i="36"/>
  <c r="J23" i="36"/>
  <c r="I26" i="36"/>
  <c r="I21" i="36"/>
  <c r="J26" i="36"/>
  <c r="I29" i="36"/>
  <c r="I19" i="36"/>
  <c r="J24" i="36"/>
  <c r="I27" i="36"/>
  <c r="I24" i="36"/>
  <c r="J27" i="36"/>
  <c r="J29" i="36"/>
  <c r="J19" i="36"/>
  <c r="I30" i="36"/>
  <c r="J21" i="36"/>
  <c r="I22" i="36"/>
  <c r="Z20" i="41" l="1"/>
  <c r="Z27" i="41" s="1"/>
  <c r="AA15" i="41"/>
  <c r="AF10" i="41"/>
  <c r="AG8" i="41"/>
  <c r="K22" i="36"/>
  <c r="K24" i="36"/>
  <c r="K26" i="36"/>
  <c r="K19" i="36"/>
  <c r="K25" i="36"/>
  <c r="K27" i="36"/>
  <c r="K30" i="36"/>
  <c r="K29" i="36"/>
  <c r="K23" i="36"/>
  <c r="E19" i="36"/>
  <c r="K28" i="36"/>
  <c r="AI18" i="41"/>
  <c r="K21" i="36"/>
  <c r="K20" i="36"/>
  <c r="AB15" i="41" l="1"/>
  <c r="AA20" i="41"/>
  <c r="AA27" i="41" s="1"/>
  <c r="AH8" i="41"/>
  <c r="AG10" i="41"/>
  <c r="G19" i="36"/>
  <c r="C20" i="36" s="1"/>
  <c r="AC15" i="41" l="1"/>
  <c r="AB20" i="41"/>
  <c r="AB27" i="41" s="1"/>
  <c r="AH10" i="41"/>
  <c r="AI8" i="41"/>
  <c r="AI10" i="41" s="1"/>
  <c r="D20" i="36"/>
  <c r="AD15" i="41" l="1"/>
  <c r="AC20" i="41"/>
  <c r="AC27" i="41" s="1"/>
  <c r="E20" i="36"/>
  <c r="AE15" i="41" l="1"/>
  <c r="AD20" i="41"/>
  <c r="AD27" i="41" s="1"/>
  <c r="G20" i="36"/>
  <c r="C21" i="36" s="1"/>
  <c r="AE20" i="41" l="1"/>
  <c r="AE27" i="41" s="1"/>
  <c r="AF15" i="41"/>
  <c r="D21" i="36"/>
  <c r="AF20" i="41" l="1"/>
  <c r="AF27" i="41" s="1"/>
  <c r="AG15" i="41"/>
  <c r="E21" i="36"/>
  <c r="AH15" i="41" l="1"/>
  <c r="AG20" i="41"/>
  <c r="AG27" i="41" s="1"/>
  <c r="G21" i="36"/>
  <c r="C22" i="36" s="1"/>
  <c r="AH20" i="41" l="1"/>
  <c r="AH27" i="41" s="1"/>
  <c r="AI15" i="41"/>
  <c r="AI20" i="41" s="1"/>
  <c r="AI27" i="41" s="1"/>
  <c r="D22" i="36"/>
  <c r="E22" i="36" l="1"/>
  <c r="G22" i="36" l="1"/>
  <c r="C23" i="36" s="1"/>
  <c r="D23" i="36" l="1"/>
  <c r="E23" i="36" l="1"/>
  <c r="G23" i="36" l="1"/>
  <c r="C24" i="36" s="1"/>
  <c r="D24" i="36" l="1"/>
  <c r="E24" i="36" s="1"/>
  <c r="G24" i="36" s="1"/>
  <c r="C25" i="36" s="1"/>
  <c r="D25" i="36" l="1"/>
  <c r="E25" i="36" s="1"/>
  <c r="G25" i="36" s="1"/>
  <c r="C26" i="36" s="1"/>
  <c r="D26" i="36" l="1"/>
  <c r="E26" i="36" s="1"/>
  <c r="G26" i="36" s="1"/>
  <c r="C27" i="36" s="1"/>
  <c r="D27" i="36" l="1"/>
  <c r="E27" i="36" s="1"/>
  <c r="G27" i="36" s="1"/>
  <c r="C28" i="36" s="1"/>
  <c r="D28" i="36" l="1"/>
  <c r="E28" i="36" s="1"/>
  <c r="G28" i="36" s="1"/>
  <c r="C29" i="36" s="1"/>
  <c r="D29" i="36" l="1"/>
  <c r="E29" i="36" s="1"/>
  <c r="G29" i="36" s="1"/>
  <c r="C30" i="36" s="1"/>
  <c r="D30" i="36" l="1"/>
  <c r="E30" i="36" s="1"/>
  <c r="G30" i="36" s="1"/>
  <c r="C31" i="36" l="1"/>
  <c r="H23" i="36"/>
  <c r="L23" i="36" s="1"/>
  <c r="H24" i="36"/>
  <c r="L24" i="36" s="1"/>
  <c r="H19" i="36"/>
  <c r="L19" i="36" s="1"/>
  <c r="H27" i="36"/>
  <c r="L27" i="36" s="1"/>
  <c r="H20" i="36"/>
  <c r="L20" i="36" s="1"/>
  <c r="H28" i="36"/>
  <c r="L28" i="36" s="1"/>
  <c r="H21" i="36"/>
  <c r="L21" i="36" s="1"/>
  <c r="H29" i="36"/>
  <c r="L29" i="36" s="1"/>
  <c r="H22" i="36"/>
  <c r="L22" i="36" s="1"/>
  <c r="H25" i="36"/>
  <c r="L25" i="36" s="1"/>
  <c r="H26" i="36"/>
  <c r="L26" i="36" s="1"/>
  <c r="H30" i="36"/>
  <c r="L30" i="36" s="1"/>
  <c r="D31" i="36" l="1"/>
  <c r="J34" i="36"/>
  <c r="I37" i="36"/>
  <c r="J42" i="36"/>
  <c r="I32" i="36"/>
  <c r="J37" i="36"/>
  <c r="I40" i="36"/>
  <c r="J32" i="36"/>
  <c r="I35" i="36"/>
  <c r="J40" i="36"/>
  <c r="J35" i="36"/>
  <c r="I38" i="36"/>
  <c r="I33" i="36"/>
  <c r="J38" i="36"/>
  <c r="I41" i="36"/>
  <c r="I31" i="36"/>
  <c r="J36" i="36"/>
  <c r="I39" i="36"/>
  <c r="J31" i="36"/>
  <c r="J39" i="36"/>
  <c r="J33" i="36"/>
  <c r="J41" i="36"/>
  <c r="I34" i="36"/>
  <c r="K34" i="36" s="1"/>
  <c r="I42" i="36"/>
  <c r="I36" i="36"/>
  <c r="K36" i="36" s="1"/>
  <c r="K40" i="36" l="1"/>
  <c r="K33" i="36"/>
  <c r="K32" i="36"/>
  <c r="K41" i="36"/>
  <c r="K38" i="36"/>
  <c r="K37" i="36"/>
  <c r="K39" i="36"/>
  <c r="K35" i="36"/>
  <c r="E31" i="36"/>
  <c r="K42" i="36"/>
  <c r="K31" i="36"/>
  <c r="F33" i="41" s="1"/>
  <c r="G31" i="36" l="1"/>
  <c r="C32" i="36" s="1"/>
  <c r="D32" i="36" l="1"/>
  <c r="E32" i="36" l="1"/>
  <c r="G32" i="36" l="1"/>
  <c r="C33" i="36" s="1"/>
  <c r="D33" i="36" l="1"/>
  <c r="E33" i="36" l="1"/>
  <c r="G33" i="36" l="1"/>
  <c r="C34" i="36" s="1"/>
  <c r="D34" i="36" l="1"/>
  <c r="E34" i="36" l="1"/>
  <c r="G34" i="36" l="1"/>
  <c r="C35" i="36" s="1"/>
  <c r="D35" i="36" l="1"/>
  <c r="E35" i="36" l="1"/>
  <c r="G35" i="36" l="1"/>
  <c r="C36" i="36" s="1"/>
  <c r="D36" i="36" l="1"/>
  <c r="E36" i="36" s="1"/>
  <c r="G36" i="36" s="1"/>
  <c r="C37" i="36" s="1"/>
  <c r="D37" i="36" l="1"/>
  <c r="E37" i="36" s="1"/>
  <c r="G37" i="36" s="1"/>
  <c r="C38" i="36" s="1"/>
  <c r="D38" i="36" l="1"/>
  <c r="E38" i="36" s="1"/>
  <c r="G38" i="36" s="1"/>
  <c r="C39" i="36" s="1"/>
  <c r="D39" i="36" l="1"/>
  <c r="E39" i="36" s="1"/>
  <c r="G39" i="36" s="1"/>
  <c r="C40" i="36" s="1"/>
  <c r="D40" i="36" l="1"/>
  <c r="E40" i="36" s="1"/>
  <c r="G40" i="36" s="1"/>
  <c r="C41" i="36" s="1"/>
  <c r="D41" i="36" l="1"/>
  <c r="E41" i="36" s="1"/>
  <c r="G41" i="36" s="1"/>
  <c r="C42" i="36" s="1"/>
  <c r="D42" i="36" l="1"/>
  <c r="E42" i="36" s="1"/>
  <c r="G42" i="36" s="1"/>
  <c r="C43" i="36" l="1"/>
  <c r="H35" i="36"/>
  <c r="L35" i="36" s="1"/>
  <c r="H36" i="36"/>
  <c r="L36" i="36" s="1"/>
  <c r="H31" i="36"/>
  <c r="H39" i="36"/>
  <c r="L39" i="36" s="1"/>
  <c r="H32" i="36"/>
  <c r="L32" i="36" s="1"/>
  <c r="H40" i="36"/>
  <c r="L40" i="36" s="1"/>
  <c r="H33" i="36"/>
  <c r="L33" i="36" s="1"/>
  <c r="H41" i="36"/>
  <c r="L41" i="36" s="1"/>
  <c r="H37" i="36"/>
  <c r="L37" i="36" s="1"/>
  <c r="H38" i="36"/>
  <c r="L38" i="36" s="1"/>
  <c r="H42" i="36"/>
  <c r="L42" i="36" s="1"/>
  <c r="H34" i="36"/>
  <c r="L34" i="36" s="1"/>
  <c r="F32" i="41" l="1"/>
  <c r="L31" i="36"/>
  <c r="D43" i="36"/>
  <c r="I45" i="36"/>
  <c r="J50" i="36"/>
  <c r="I53" i="36"/>
  <c r="J45" i="36"/>
  <c r="I48" i="36"/>
  <c r="J53" i="36"/>
  <c r="I43" i="36"/>
  <c r="J48" i="36"/>
  <c r="I51" i="36"/>
  <c r="J43" i="36"/>
  <c r="I46" i="36"/>
  <c r="J51" i="36"/>
  <c r="I54" i="36"/>
  <c r="K54" i="36" s="1"/>
  <c r="J46" i="36"/>
  <c r="J44" i="36"/>
  <c r="I47" i="36"/>
  <c r="I49" i="36"/>
  <c r="J49" i="36"/>
  <c r="I50" i="36"/>
  <c r="K50" i="36" s="1"/>
  <c r="I44" i="36"/>
  <c r="I52" i="36"/>
  <c r="J52" i="36"/>
  <c r="J47" i="36"/>
  <c r="J54" i="36"/>
  <c r="K44" i="36" l="1"/>
  <c r="K48" i="36"/>
  <c r="K47" i="36"/>
  <c r="K49" i="36"/>
  <c r="K52" i="36"/>
  <c r="K46" i="36"/>
  <c r="K53" i="36"/>
  <c r="K45" i="36"/>
  <c r="K51" i="36"/>
  <c r="K43" i="36"/>
  <c r="G33" i="41" s="1"/>
  <c r="E43" i="36"/>
  <c r="G43" i="36" l="1"/>
  <c r="C44" i="36" s="1"/>
  <c r="D44" i="36" l="1"/>
  <c r="E44" i="36" l="1"/>
  <c r="G44" i="36" l="1"/>
  <c r="C45" i="36" s="1"/>
  <c r="D45" i="36" l="1"/>
  <c r="E45" i="36" l="1"/>
  <c r="G45" i="36" l="1"/>
  <c r="C46" i="36" s="1"/>
  <c r="D46" i="36" l="1"/>
  <c r="E46" i="36" l="1"/>
  <c r="G46" i="36" l="1"/>
  <c r="C47" i="36" s="1"/>
  <c r="D47" i="36" l="1"/>
  <c r="E47" i="36" l="1"/>
  <c r="G47" i="36" l="1"/>
  <c r="C48" i="36" s="1"/>
  <c r="D48" i="36" l="1"/>
  <c r="E48" i="36" s="1"/>
  <c r="G48" i="36" s="1"/>
  <c r="C49" i="36" s="1"/>
  <c r="D49" i="36" l="1"/>
  <c r="E49" i="36" s="1"/>
  <c r="G49" i="36" s="1"/>
  <c r="C50" i="36" s="1"/>
  <c r="D50" i="36" l="1"/>
  <c r="E50" i="36" s="1"/>
  <c r="G50" i="36" s="1"/>
  <c r="C51" i="36" s="1"/>
  <c r="D51" i="36" l="1"/>
  <c r="E51" i="36" s="1"/>
  <c r="G51" i="36" s="1"/>
  <c r="C52" i="36" s="1"/>
  <c r="D52" i="36" l="1"/>
  <c r="E52" i="36" s="1"/>
  <c r="G52" i="36" s="1"/>
  <c r="C53" i="36" s="1"/>
  <c r="D53" i="36" l="1"/>
  <c r="E53" i="36" s="1"/>
  <c r="G53" i="36" s="1"/>
  <c r="C54" i="36" s="1"/>
  <c r="D54" i="36" l="1"/>
  <c r="E54" i="36" s="1"/>
  <c r="G54" i="36" s="1"/>
  <c r="C55" i="36" l="1"/>
  <c r="H43" i="36"/>
  <c r="H51" i="36"/>
  <c r="L51" i="36" s="1"/>
  <c r="H44" i="36"/>
  <c r="L44" i="36" s="1"/>
  <c r="H52" i="36"/>
  <c r="L52" i="36" s="1"/>
  <c r="H47" i="36"/>
  <c r="L47" i="36" s="1"/>
  <c r="H48" i="36"/>
  <c r="L48" i="36" s="1"/>
  <c r="H49" i="36"/>
  <c r="L49" i="36" s="1"/>
  <c r="H45" i="36"/>
  <c r="L45" i="36" s="1"/>
  <c r="H46" i="36"/>
  <c r="L46" i="36" s="1"/>
  <c r="H50" i="36"/>
  <c r="L50" i="36" s="1"/>
  <c r="H53" i="36"/>
  <c r="L53" i="36" s="1"/>
  <c r="H54" i="36"/>
  <c r="L54" i="36" s="1"/>
  <c r="G32" i="41" l="1"/>
  <c r="L43" i="36"/>
  <c r="D55" i="36"/>
  <c r="I56" i="36"/>
  <c r="J56" i="36"/>
  <c r="J58" i="36"/>
  <c r="I61" i="36"/>
  <c r="J66" i="36"/>
  <c r="I55" i="36"/>
  <c r="J61" i="36"/>
  <c r="I64" i="36"/>
  <c r="J55" i="36"/>
  <c r="I59" i="36"/>
  <c r="J64" i="36"/>
  <c r="J59" i="36"/>
  <c r="I62" i="36"/>
  <c r="I57" i="36"/>
  <c r="J62" i="36"/>
  <c r="I65" i="36"/>
  <c r="J57" i="36"/>
  <c r="I60" i="36"/>
  <c r="J65" i="36"/>
  <c r="J60" i="36"/>
  <c r="I63" i="36"/>
  <c r="K63" i="36" s="1"/>
  <c r="I66" i="36"/>
  <c r="I58" i="36"/>
  <c r="J63" i="36"/>
  <c r="K59" i="36" l="1"/>
  <c r="K60" i="36"/>
  <c r="K62" i="36"/>
  <c r="K61" i="36"/>
  <c r="K56" i="36"/>
  <c r="K65" i="36"/>
  <c r="K64" i="36"/>
  <c r="E55" i="36"/>
  <c r="K58" i="36"/>
  <c r="K66" i="36"/>
  <c r="K57" i="36"/>
  <c r="K55" i="36"/>
  <c r="H33" i="41" s="1"/>
  <c r="G55" i="36" l="1"/>
  <c r="C56" i="36" s="1"/>
  <c r="D56" i="36" l="1"/>
  <c r="E56" i="36" l="1"/>
  <c r="G56" i="36" l="1"/>
  <c r="C57" i="36" s="1"/>
  <c r="D57" i="36" l="1"/>
  <c r="E57" i="36" l="1"/>
  <c r="G57" i="36" l="1"/>
  <c r="C58" i="36" s="1"/>
  <c r="D58" i="36" l="1"/>
  <c r="E58" i="36" l="1"/>
  <c r="G58" i="36" l="1"/>
  <c r="C59" i="36" s="1"/>
  <c r="D59" i="36" l="1"/>
  <c r="E59" i="36" l="1"/>
  <c r="G59" i="36" l="1"/>
  <c r="C60" i="36" s="1"/>
  <c r="D60" i="36" l="1"/>
  <c r="E60" i="36" s="1"/>
  <c r="G60" i="36" s="1"/>
  <c r="C61" i="36" s="1"/>
  <c r="D61" i="36" l="1"/>
  <c r="E61" i="36" s="1"/>
  <c r="G61" i="36" s="1"/>
  <c r="C62" i="36" s="1"/>
  <c r="D62" i="36" l="1"/>
  <c r="E62" i="36" s="1"/>
  <c r="G62" i="36" s="1"/>
  <c r="C63" i="36" s="1"/>
  <c r="D63" i="36" l="1"/>
  <c r="E63" i="36" s="1"/>
  <c r="G63" i="36" s="1"/>
  <c r="C64" i="36" s="1"/>
  <c r="D64" i="36" l="1"/>
  <c r="E64" i="36" s="1"/>
  <c r="G64" i="36" s="1"/>
  <c r="C65" i="36" s="1"/>
  <c r="D65" i="36" l="1"/>
  <c r="E65" i="36" s="1"/>
  <c r="G65" i="36" s="1"/>
  <c r="C66" i="36" s="1"/>
  <c r="D66" i="36" l="1"/>
  <c r="E66" i="36" s="1"/>
  <c r="G66" i="36" s="1"/>
  <c r="C67" i="36" l="1"/>
  <c r="H59" i="36"/>
  <c r="L59" i="36" s="1"/>
  <c r="H60" i="36"/>
  <c r="L60" i="36" s="1"/>
  <c r="H55" i="36"/>
  <c r="H56" i="36"/>
  <c r="L56" i="36" s="1"/>
  <c r="H57" i="36"/>
  <c r="L57" i="36" s="1"/>
  <c r="H65" i="36"/>
  <c r="L65" i="36" s="1"/>
  <c r="H58" i="36"/>
  <c r="L58" i="36" s="1"/>
  <c r="H61" i="36"/>
  <c r="L61" i="36" s="1"/>
  <c r="H62" i="36"/>
  <c r="L62" i="36" s="1"/>
  <c r="H63" i="36"/>
  <c r="L63" i="36" s="1"/>
  <c r="H64" i="36"/>
  <c r="L64" i="36" s="1"/>
  <c r="H66" i="36"/>
  <c r="L66" i="36" s="1"/>
  <c r="H32" i="41" l="1"/>
  <c r="L55" i="36"/>
  <c r="D67" i="36"/>
  <c r="I69" i="36"/>
  <c r="J74" i="36"/>
  <c r="I77" i="36"/>
  <c r="J69" i="36"/>
  <c r="I72" i="36"/>
  <c r="K72" i="36" s="1"/>
  <c r="J77" i="36"/>
  <c r="I67" i="36"/>
  <c r="J72" i="36"/>
  <c r="I75" i="36"/>
  <c r="J67" i="36"/>
  <c r="I70" i="36"/>
  <c r="J75" i="36"/>
  <c r="I78" i="36"/>
  <c r="K78" i="36" s="1"/>
  <c r="J70" i="36"/>
  <c r="I73" i="36"/>
  <c r="J78" i="36"/>
  <c r="I68" i="36"/>
  <c r="J73" i="36"/>
  <c r="I76" i="36"/>
  <c r="J68" i="36"/>
  <c r="I71" i="36"/>
  <c r="K71" i="36" s="1"/>
  <c r="J76" i="36"/>
  <c r="J71" i="36"/>
  <c r="I74" i="36"/>
  <c r="K74" i="36" l="1"/>
  <c r="K77" i="36"/>
  <c r="K70" i="36"/>
  <c r="K76" i="36"/>
  <c r="K75" i="36"/>
  <c r="K69" i="36"/>
  <c r="K68" i="36"/>
  <c r="K67" i="36"/>
  <c r="I33" i="41" s="1"/>
  <c r="E67" i="36"/>
  <c r="K73" i="36"/>
  <c r="G67" i="36" l="1"/>
  <c r="C68" i="36" s="1"/>
  <c r="D68" i="36" l="1"/>
  <c r="E68" i="36" l="1"/>
  <c r="G68" i="36" l="1"/>
  <c r="C69" i="36" s="1"/>
  <c r="D69" i="36" l="1"/>
  <c r="E69" i="36" l="1"/>
  <c r="G69" i="36" l="1"/>
  <c r="C70" i="36" s="1"/>
  <c r="D70" i="36" l="1"/>
  <c r="E70" i="36" l="1"/>
  <c r="G70" i="36" l="1"/>
  <c r="C71" i="36" s="1"/>
  <c r="D71" i="36" l="1"/>
  <c r="E71" i="36" l="1"/>
  <c r="G71" i="36" l="1"/>
  <c r="C72" i="36" s="1"/>
  <c r="D72" i="36" l="1"/>
  <c r="E72" i="36" s="1"/>
  <c r="G72" i="36" s="1"/>
  <c r="C73" i="36" s="1"/>
  <c r="D73" i="36" l="1"/>
  <c r="E73" i="36" s="1"/>
  <c r="G73" i="36" s="1"/>
  <c r="C74" i="36" s="1"/>
  <c r="D74" i="36" l="1"/>
  <c r="E74" i="36" s="1"/>
  <c r="G74" i="36" s="1"/>
  <c r="C75" i="36" s="1"/>
  <c r="D75" i="36" l="1"/>
  <c r="E75" i="36" s="1"/>
  <c r="G75" i="36" s="1"/>
  <c r="C76" i="36" s="1"/>
  <c r="D76" i="36" l="1"/>
  <c r="E76" i="36" s="1"/>
  <c r="G76" i="36" s="1"/>
  <c r="C77" i="36" s="1"/>
  <c r="D77" i="36" l="1"/>
  <c r="E77" i="36" s="1"/>
  <c r="G77" i="36" s="1"/>
  <c r="C78" i="36" s="1"/>
  <c r="D78" i="36" l="1"/>
  <c r="E78" i="36" s="1"/>
  <c r="G78" i="36" s="1"/>
  <c r="C79" i="36" l="1"/>
  <c r="H69" i="36"/>
  <c r="L69" i="36" s="1"/>
  <c r="H77" i="36"/>
  <c r="L77" i="36" s="1"/>
  <c r="H70" i="36"/>
  <c r="L70" i="36" s="1"/>
  <c r="H78" i="36"/>
  <c r="L78" i="36" s="1"/>
  <c r="H71" i="36"/>
  <c r="L71" i="36" s="1"/>
  <c r="H72" i="36"/>
  <c r="L72" i="36" s="1"/>
  <c r="H73" i="36"/>
  <c r="L73" i="36" s="1"/>
  <c r="H74" i="36"/>
  <c r="L74" i="36" s="1"/>
  <c r="H67" i="36"/>
  <c r="H75" i="36"/>
  <c r="L75" i="36" s="1"/>
  <c r="H68" i="36"/>
  <c r="L68" i="36" s="1"/>
  <c r="H76" i="36"/>
  <c r="L76" i="36" s="1"/>
  <c r="I32" i="41" l="1"/>
  <c r="L67" i="36"/>
  <c r="D79" i="36"/>
  <c r="J82" i="36"/>
  <c r="I85" i="36"/>
  <c r="J90" i="36"/>
  <c r="I80" i="36"/>
  <c r="J85" i="36"/>
  <c r="I88" i="36"/>
  <c r="J80" i="36"/>
  <c r="I83" i="36"/>
  <c r="J88" i="36"/>
  <c r="J83" i="36"/>
  <c r="I86" i="36"/>
  <c r="I81" i="36"/>
  <c r="J86" i="36"/>
  <c r="I89" i="36"/>
  <c r="J81" i="36"/>
  <c r="I84" i="36"/>
  <c r="J89" i="36"/>
  <c r="I79" i="36"/>
  <c r="J84" i="36"/>
  <c r="I87" i="36"/>
  <c r="J87" i="36"/>
  <c r="I90" i="36"/>
  <c r="J79" i="36"/>
  <c r="I82" i="36"/>
  <c r="K90" i="36" l="1"/>
  <c r="K80" i="36"/>
  <c r="K81" i="36"/>
  <c r="K79" i="36"/>
  <c r="K82" i="36"/>
  <c r="K84" i="36"/>
  <c r="K86" i="36"/>
  <c r="K85" i="36"/>
  <c r="J33" i="41"/>
  <c r="K83" i="36"/>
  <c r="E79" i="36"/>
  <c r="K87" i="36"/>
  <c r="K89" i="36"/>
  <c r="K88" i="36"/>
  <c r="G79" i="36" l="1"/>
  <c r="C80" i="36" s="1"/>
  <c r="D80" i="36" l="1"/>
  <c r="E80" i="36" l="1"/>
  <c r="G80" i="36" l="1"/>
  <c r="C81" i="36" s="1"/>
  <c r="D81" i="36" l="1"/>
  <c r="E81" i="36" l="1"/>
  <c r="G81" i="36" l="1"/>
  <c r="C82" i="36" s="1"/>
  <c r="D82" i="36" l="1"/>
  <c r="E82" i="36" l="1"/>
  <c r="G82" i="36" l="1"/>
  <c r="C83" i="36" s="1"/>
  <c r="D83" i="36" l="1"/>
  <c r="E83" i="36" l="1"/>
  <c r="G83" i="36" l="1"/>
  <c r="C84" i="36" s="1"/>
  <c r="D84" i="36" l="1"/>
  <c r="E84" i="36" s="1"/>
  <c r="G84" i="36" s="1"/>
  <c r="C85" i="36" s="1"/>
  <c r="D85" i="36" l="1"/>
  <c r="E85" i="36" s="1"/>
  <c r="G85" i="36" s="1"/>
  <c r="C86" i="36" s="1"/>
  <c r="D86" i="36" l="1"/>
  <c r="E86" i="36" s="1"/>
  <c r="G86" i="36" s="1"/>
  <c r="C87" i="36" s="1"/>
  <c r="D87" i="36" l="1"/>
  <c r="E87" i="36" s="1"/>
  <c r="G87" i="36" s="1"/>
  <c r="C88" i="36" s="1"/>
  <c r="D88" i="36" l="1"/>
  <c r="E88" i="36" s="1"/>
  <c r="G88" i="36" s="1"/>
  <c r="C89" i="36" s="1"/>
  <c r="D89" i="36" l="1"/>
  <c r="E89" i="36" s="1"/>
  <c r="G89" i="36" s="1"/>
  <c r="C90" i="36" s="1"/>
  <c r="D90" i="36" l="1"/>
  <c r="E90" i="36" s="1"/>
  <c r="G90" i="36" s="1"/>
  <c r="C91" i="36" l="1"/>
  <c r="H85" i="36"/>
  <c r="L85" i="36" s="1"/>
  <c r="H86" i="36"/>
  <c r="L86" i="36" s="1"/>
  <c r="H79" i="36"/>
  <c r="H87" i="36"/>
  <c r="L87" i="36" s="1"/>
  <c r="H80" i="36"/>
  <c r="L80" i="36" s="1"/>
  <c r="H88" i="36"/>
  <c r="L88" i="36" s="1"/>
  <c r="H81" i="36"/>
  <c r="L81" i="36" s="1"/>
  <c r="H89" i="36"/>
  <c r="L89" i="36" s="1"/>
  <c r="H82" i="36"/>
  <c r="L82" i="36" s="1"/>
  <c r="H90" i="36"/>
  <c r="L90" i="36" s="1"/>
  <c r="H83" i="36"/>
  <c r="L83" i="36" s="1"/>
  <c r="H84" i="36"/>
  <c r="L84" i="36" s="1"/>
  <c r="J32" i="41" l="1"/>
  <c r="L79" i="36"/>
  <c r="D91" i="36"/>
  <c r="I93" i="36"/>
  <c r="J98" i="36"/>
  <c r="I101" i="36"/>
  <c r="J93" i="36"/>
  <c r="I96" i="36"/>
  <c r="J101" i="36"/>
  <c r="I91" i="36"/>
  <c r="J96" i="36"/>
  <c r="I99" i="36"/>
  <c r="J91" i="36"/>
  <c r="I94" i="36"/>
  <c r="J99" i="36"/>
  <c r="I102" i="36"/>
  <c r="K102" i="36" s="1"/>
  <c r="J94" i="36"/>
  <c r="I97" i="36"/>
  <c r="J102" i="36"/>
  <c r="I92" i="36"/>
  <c r="J97" i="36"/>
  <c r="I100" i="36"/>
  <c r="J92" i="36"/>
  <c r="I95" i="36"/>
  <c r="J100" i="36"/>
  <c r="J95" i="36"/>
  <c r="I98" i="36"/>
  <c r="K96" i="36" l="1"/>
  <c r="K95" i="36"/>
  <c r="K99" i="36"/>
  <c r="K92" i="36"/>
  <c r="K98" i="36"/>
  <c r="K101" i="36"/>
  <c r="K100" i="36"/>
  <c r="K93" i="36"/>
  <c r="K94" i="36"/>
  <c r="K91" i="36"/>
  <c r="E91" i="36"/>
  <c r="K97" i="36"/>
  <c r="K33" i="41" l="1"/>
  <c r="G91" i="36"/>
  <c r="C92" i="36" s="1"/>
  <c r="D92" i="36" l="1"/>
  <c r="E92" i="36" l="1"/>
  <c r="G92" i="36" l="1"/>
  <c r="C93" i="36" s="1"/>
  <c r="D93" i="36" l="1"/>
  <c r="E93" i="36" l="1"/>
  <c r="G93" i="36" l="1"/>
  <c r="C94" i="36" s="1"/>
  <c r="D94" i="36" l="1"/>
  <c r="E94" i="36" l="1"/>
  <c r="G94" i="36" l="1"/>
  <c r="C95" i="36" s="1"/>
  <c r="D95" i="36" l="1"/>
  <c r="E95" i="36" l="1"/>
  <c r="G95" i="36" l="1"/>
  <c r="C96" i="36" s="1"/>
  <c r="D96" i="36" l="1"/>
  <c r="E96" i="36" s="1"/>
  <c r="G96" i="36" s="1"/>
  <c r="C97" i="36" s="1"/>
  <c r="D97" i="36" l="1"/>
  <c r="E97" i="36" s="1"/>
  <c r="G97" i="36" s="1"/>
  <c r="C98" i="36" s="1"/>
  <c r="D98" i="36" l="1"/>
  <c r="E98" i="36" s="1"/>
  <c r="G98" i="36" s="1"/>
  <c r="C99" i="36" s="1"/>
  <c r="D99" i="36" l="1"/>
  <c r="E99" i="36" s="1"/>
  <c r="G99" i="36" s="1"/>
  <c r="C100" i="36" s="1"/>
  <c r="D100" i="36" l="1"/>
  <c r="E100" i="36" s="1"/>
  <c r="G100" i="36" s="1"/>
  <c r="C101" i="36" s="1"/>
  <c r="D101" i="36" l="1"/>
  <c r="E101" i="36" s="1"/>
  <c r="G101" i="36" s="1"/>
  <c r="C102" i="36" s="1"/>
  <c r="D102" i="36" l="1"/>
  <c r="E102" i="36" s="1"/>
  <c r="G102" i="36" s="1"/>
  <c r="C103" i="36" l="1"/>
  <c r="H93" i="36"/>
  <c r="L93" i="36" s="1"/>
  <c r="H101" i="36"/>
  <c r="L101" i="36" s="1"/>
  <c r="H94" i="36"/>
  <c r="L94" i="36" s="1"/>
  <c r="H102" i="36"/>
  <c r="L102" i="36" s="1"/>
  <c r="H95" i="36"/>
  <c r="L95" i="36" s="1"/>
  <c r="H96" i="36"/>
  <c r="L96" i="36" s="1"/>
  <c r="H97" i="36"/>
  <c r="L97" i="36" s="1"/>
  <c r="H98" i="36"/>
  <c r="L98" i="36" s="1"/>
  <c r="H91" i="36"/>
  <c r="H99" i="36"/>
  <c r="L99" i="36" s="1"/>
  <c r="H100" i="36"/>
  <c r="L100" i="36" s="1"/>
  <c r="H92" i="36"/>
  <c r="L92" i="36" s="1"/>
  <c r="K32" i="41" l="1"/>
  <c r="L91" i="36"/>
  <c r="D103" i="36"/>
  <c r="J106" i="36"/>
  <c r="I109" i="36"/>
  <c r="J114" i="36"/>
  <c r="I104" i="36"/>
  <c r="J109" i="36"/>
  <c r="I112" i="36"/>
  <c r="J104" i="36"/>
  <c r="I107" i="36"/>
  <c r="J112" i="36"/>
  <c r="J107" i="36"/>
  <c r="I110" i="36"/>
  <c r="I105" i="36"/>
  <c r="J110" i="36"/>
  <c r="I113" i="36"/>
  <c r="J105" i="36"/>
  <c r="I108" i="36"/>
  <c r="J113" i="36"/>
  <c r="I103" i="36"/>
  <c r="J108" i="36"/>
  <c r="I111" i="36"/>
  <c r="J111" i="36"/>
  <c r="I114" i="36"/>
  <c r="J103" i="36"/>
  <c r="I106" i="36"/>
  <c r="K106" i="36" l="1"/>
  <c r="K104" i="36"/>
  <c r="K103" i="36"/>
  <c r="K105" i="36"/>
  <c r="K111" i="36"/>
  <c r="K110" i="36"/>
  <c r="L33" i="41"/>
  <c r="K109" i="36"/>
  <c r="K108" i="36"/>
  <c r="K107" i="36"/>
  <c r="E103" i="36"/>
  <c r="K114" i="36"/>
  <c r="K113" i="36"/>
  <c r="K112" i="36"/>
  <c r="G103" i="36" l="1"/>
  <c r="C104" i="36" s="1"/>
  <c r="D104" i="36" l="1"/>
  <c r="E104" i="36" l="1"/>
  <c r="G104" i="36" l="1"/>
  <c r="C105" i="36" s="1"/>
  <c r="D105" i="36" l="1"/>
  <c r="E105" i="36" l="1"/>
  <c r="G105" i="36" l="1"/>
  <c r="C106" i="36" s="1"/>
  <c r="D106" i="36" l="1"/>
  <c r="E106" i="36" l="1"/>
  <c r="G106" i="36" l="1"/>
  <c r="C107" i="36" s="1"/>
  <c r="D107" i="36" l="1"/>
  <c r="E107" i="36" l="1"/>
  <c r="G107" i="36" l="1"/>
  <c r="C108" i="36" s="1"/>
  <c r="D108" i="36" l="1"/>
  <c r="E108" i="36" s="1"/>
  <c r="G108" i="36" s="1"/>
  <c r="C109" i="36" s="1"/>
  <c r="D109" i="36" l="1"/>
  <c r="E109" i="36" s="1"/>
  <c r="G109" i="36" s="1"/>
  <c r="C110" i="36" s="1"/>
  <c r="D110" i="36" l="1"/>
  <c r="E110" i="36" s="1"/>
  <c r="G110" i="36" s="1"/>
  <c r="C111" i="36" s="1"/>
  <c r="D111" i="36" l="1"/>
  <c r="E111" i="36" s="1"/>
  <c r="G111" i="36" s="1"/>
  <c r="C112" i="36" s="1"/>
  <c r="D112" i="36" l="1"/>
  <c r="E112" i="36" s="1"/>
  <c r="G112" i="36" s="1"/>
  <c r="C113" i="36" s="1"/>
  <c r="D113" i="36" l="1"/>
  <c r="E113" i="36" s="1"/>
  <c r="G113" i="36" s="1"/>
  <c r="C114" i="36" s="1"/>
  <c r="D114" i="36" l="1"/>
  <c r="E114" i="36" s="1"/>
  <c r="G114" i="36" s="1"/>
  <c r="C115" i="36" l="1"/>
  <c r="H109" i="36"/>
  <c r="L109" i="36" s="1"/>
  <c r="H110" i="36"/>
  <c r="L110" i="36" s="1"/>
  <c r="H103" i="36"/>
  <c r="H111" i="36"/>
  <c r="L111" i="36" s="1"/>
  <c r="H104" i="36"/>
  <c r="L104" i="36" s="1"/>
  <c r="H112" i="36"/>
  <c r="L112" i="36" s="1"/>
  <c r="H105" i="36"/>
  <c r="L105" i="36" s="1"/>
  <c r="H113" i="36"/>
  <c r="L113" i="36" s="1"/>
  <c r="H106" i="36"/>
  <c r="L106" i="36" s="1"/>
  <c r="H114" i="36"/>
  <c r="L114" i="36" s="1"/>
  <c r="H107" i="36"/>
  <c r="L107" i="36" s="1"/>
  <c r="H108" i="36"/>
  <c r="L108" i="36" s="1"/>
  <c r="L32" i="41" l="1"/>
  <c r="L103" i="36"/>
  <c r="D115" i="36"/>
  <c r="I117" i="36"/>
  <c r="J122" i="36"/>
  <c r="I125" i="36"/>
  <c r="J117" i="36"/>
  <c r="I120" i="36"/>
  <c r="K120" i="36" s="1"/>
  <c r="J125" i="36"/>
  <c r="I115" i="36"/>
  <c r="J120" i="36"/>
  <c r="I123" i="36"/>
  <c r="J115" i="36"/>
  <c r="I118" i="36"/>
  <c r="J123" i="36"/>
  <c r="I126" i="36"/>
  <c r="K126" i="36" s="1"/>
  <c r="J118" i="36"/>
  <c r="I121" i="36"/>
  <c r="J126" i="36"/>
  <c r="I116" i="36"/>
  <c r="J121" i="36"/>
  <c r="I124" i="36"/>
  <c r="J116" i="36"/>
  <c r="I119" i="36"/>
  <c r="J124" i="36"/>
  <c r="J119" i="36"/>
  <c r="I122" i="36"/>
  <c r="K119" i="36" l="1"/>
  <c r="K124" i="36"/>
  <c r="K125" i="36"/>
  <c r="K118" i="36"/>
  <c r="K116" i="36"/>
  <c r="K123" i="36"/>
  <c r="K122" i="36"/>
  <c r="K117" i="36"/>
  <c r="K115" i="36"/>
  <c r="E115" i="36"/>
  <c r="K121" i="36"/>
  <c r="M33" i="41" l="1"/>
  <c r="G115" i="36"/>
  <c r="C116" i="36" s="1"/>
  <c r="D116" i="36" l="1"/>
  <c r="E116" i="36" l="1"/>
  <c r="G116" i="36" l="1"/>
  <c r="C117" i="36" s="1"/>
  <c r="D117" i="36" l="1"/>
  <c r="E117" i="36" l="1"/>
  <c r="G117" i="36" l="1"/>
  <c r="C118" i="36" s="1"/>
  <c r="D118" i="36" l="1"/>
  <c r="E118" i="36" l="1"/>
  <c r="G118" i="36" l="1"/>
  <c r="C119" i="36" s="1"/>
  <c r="D119" i="36" l="1"/>
  <c r="E119" i="36" l="1"/>
  <c r="G119" i="36" l="1"/>
  <c r="C120" i="36" s="1"/>
  <c r="D120" i="36" l="1"/>
  <c r="E120" i="36" s="1"/>
  <c r="G120" i="36" s="1"/>
  <c r="C121" i="36" s="1"/>
  <c r="D121" i="36" l="1"/>
  <c r="E121" i="36" s="1"/>
  <c r="G121" i="36" s="1"/>
  <c r="C122" i="36" s="1"/>
  <c r="D122" i="36" l="1"/>
  <c r="E122" i="36" s="1"/>
  <c r="G122" i="36" s="1"/>
  <c r="C123" i="36" s="1"/>
  <c r="D123" i="36" l="1"/>
  <c r="E123" i="36" s="1"/>
  <c r="G123" i="36" s="1"/>
  <c r="C124" i="36" s="1"/>
  <c r="D124" i="36" l="1"/>
  <c r="E124" i="36" s="1"/>
  <c r="G124" i="36" s="1"/>
  <c r="C125" i="36" s="1"/>
  <c r="D125" i="36" l="1"/>
  <c r="E125" i="36" s="1"/>
  <c r="G125" i="36" s="1"/>
  <c r="C126" i="36" s="1"/>
  <c r="D126" i="36" l="1"/>
  <c r="E126" i="36" s="1"/>
  <c r="G126" i="36" s="1"/>
  <c r="C127" i="36" l="1"/>
  <c r="H117" i="36"/>
  <c r="L117" i="36" s="1"/>
  <c r="H125" i="36"/>
  <c r="L125" i="36" s="1"/>
  <c r="H118" i="36"/>
  <c r="L118" i="36" s="1"/>
  <c r="H126" i="36"/>
  <c r="L126" i="36" s="1"/>
  <c r="H119" i="36"/>
  <c r="L119" i="36" s="1"/>
  <c r="H120" i="36"/>
  <c r="L120" i="36" s="1"/>
  <c r="H121" i="36"/>
  <c r="L121" i="36" s="1"/>
  <c r="H122" i="36"/>
  <c r="L122" i="36" s="1"/>
  <c r="H115" i="36"/>
  <c r="H123" i="36"/>
  <c r="L123" i="36" s="1"/>
  <c r="H116" i="36"/>
  <c r="L116" i="36" s="1"/>
  <c r="H124" i="36"/>
  <c r="L124" i="36" s="1"/>
  <c r="M32" i="41" l="1"/>
  <c r="L115" i="36"/>
  <c r="D127" i="36"/>
  <c r="J130" i="36"/>
  <c r="I133" i="36"/>
  <c r="J138" i="36"/>
  <c r="I128" i="36"/>
  <c r="J133" i="36"/>
  <c r="I136" i="36"/>
  <c r="J128" i="36"/>
  <c r="I131" i="36"/>
  <c r="J136" i="36"/>
  <c r="J131" i="36"/>
  <c r="I134" i="36"/>
  <c r="I129" i="36"/>
  <c r="J134" i="36"/>
  <c r="I137" i="36"/>
  <c r="J129" i="36"/>
  <c r="I132" i="36"/>
  <c r="J137" i="36"/>
  <c r="I127" i="36"/>
  <c r="J132" i="36"/>
  <c r="I135" i="36"/>
  <c r="I130" i="36"/>
  <c r="K130" i="36" s="1"/>
  <c r="J135" i="36"/>
  <c r="I138" i="36"/>
  <c r="J127" i="36"/>
  <c r="K127" i="36" l="1"/>
  <c r="K128" i="36"/>
  <c r="K129" i="36"/>
  <c r="K135" i="36"/>
  <c r="K133" i="36"/>
  <c r="K134" i="36"/>
  <c r="K132" i="36"/>
  <c r="K131" i="36"/>
  <c r="E127" i="36"/>
  <c r="K138" i="36"/>
  <c r="N33" i="41"/>
  <c r="K137" i="36"/>
  <c r="K136" i="36"/>
  <c r="G127" i="36" l="1"/>
  <c r="C128" i="36" s="1"/>
  <c r="D128" i="36" l="1"/>
  <c r="E128" i="36" l="1"/>
  <c r="G128" i="36" l="1"/>
  <c r="C129" i="36" s="1"/>
  <c r="D129" i="36" l="1"/>
  <c r="E129" i="36" l="1"/>
  <c r="G129" i="36" l="1"/>
  <c r="C130" i="36" s="1"/>
  <c r="D130" i="36" l="1"/>
  <c r="E130" i="36" l="1"/>
  <c r="G130" i="36" l="1"/>
  <c r="C131" i="36" s="1"/>
  <c r="D131" i="36" l="1"/>
  <c r="E131" i="36" l="1"/>
  <c r="G131" i="36" l="1"/>
  <c r="C132" i="36" s="1"/>
  <c r="D132" i="36" l="1"/>
  <c r="E132" i="36" s="1"/>
  <c r="G132" i="36" s="1"/>
  <c r="C133" i="36" s="1"/>
  <c r="D133" i="36" l="1"/>
  <c r="E133" i="36" s="1"/>
  <c r="G133" i="36" s="1"/>
  <c r="C134" i="36" s="1"/>
  <c r="D134" i="36" l="1"/>
  <c r="E134" i="36" s="1"/>
  <c r="G134" i="36" s="1"/>
  <c r="C135" i="36" s="1"/>
  <c r="D135" i="36" l="1"/>
  <c r="E135" i="36" s="1"/>
  <c r="G135" i="36" s="1"/>
  <c r="C136" i="36" s="1"/>
  <c r="D136" i="36" l="1"/>
  <c r="E136" i="36" s="1"/>
  <c r="G136" i="36" s="1"/>
  <c r="C137" i="36" s="1"/>
  <c r="D137" i="36" l="1"/>
  <c r="E137" i="36" s="1"/>
  <c r="G137" i="36" s="1"/>
  <c r="C138" i="36" s="1"/>
  <c r="D138" i="36" l="1"/>
  <c r="E138" i="36" s="1"/>
  <c r="G138" i="36" s="1"/>
  <c r="C139" i="36" l="1"/>
  <c r="H133" i="36"/>
  <c r="L133" i="36" s="1"/>
  <c r="H134" i="36"/>
  <c r="L134" i="36" s="1"/>
  <c r="H127" i="36"/>
  <c r="H135" i="36"/>
  <c r="L135" i="36" s="1"/>
  <c r="H128" i="36"/>
  <c r="L128" i="36" s="1"/>
  <c r="H136" i="36"/>
  <c r="L136" i="36" s="1"/>
  <c r="H129" i="36"/>
  <c r="L129" i="36" s="1"/>
  <c r="H137" i="36"/>
  <c r="L137" i="36" s="1"/>
  <c r="H130" i="36"/>
  <c r="L130" i="36" s="1"/>
  <c r="H138" i="36"/>
  <c r="L138" i="36" s="1"/>
  <c r="H131" i="36"/>
  <c r="L131" i="36" s="1"/>
  <c r="H132" i="36"/>
  <c r="L132" i="36" s="1"/>
  <c r="N32" i="41" l="1"/>
  <c r="L127" i="36"/>
  <c r="D139" i="36"/>
  <c r="I141" i="36"/>
  <c r="J146" i="36"/>
  <c r="I149" i="36"/>
  <c r="J141" i="36"/>
  <c r="I144" i="36"/>
  <c r="J149" i="36"/>
  <c r="I139" i="36"/>
  <c r="J144" i="36"/>
  <c r="I147" i="36"/>
  <c r="J139" i="36"/>
  <c r="I142" i="36"/>
  <c r="J147" i="36"/>
  <c r="I150" i="36"/>
  <c r="J142" i="36"/>
  <c r="I145" i="36"/>
  <c r="J150" i="36"/>
  <c r="I140" i="36"/>
  <c r="J145" i="36"/>
  <c r="I148" i="36"/>
  <c r="J140" i="36"/>
  <c r="I143" i="36"/>
  <c r="K143" i="36" s="1"/>
  <c r="J148" i="36"/>
  <c r="J143" i="36"/>
  <c r="I146" i="36"/>
  <c r="K150" i="36" l="1"/>
  <c r="K144" i="36"/>
  <c r="K147" i="36"/>
  <c r="K140" i="36"/>
  <c r="K148" i="36"/>
  <c r="K149" i="36"/>
  <c r="K141" i="36"/>
  <c r="K142" i="36"/>
  <c r="K146" i="36"/>
  <c r="K139" i="36"/>
  <c r="O33" i="41" s="1"/>
  <c r="E139" i="36"/>
  <c r="K145" i="36"/>
  <c r="G139" i="36" l="1"/>
  <c r="C140" i="36" s="1"/>
  <c r="D140" i="36" l="1"/>
  <c r="E140" i="36" l="1"/>
  <c r="G140" i="36" l="1"/>
  <c r="C141" i="36" s="1"/>
  <c r="D141" i="36" l="1"/>
  <c r="E141" i="36" l="1"/>
  <c r="G141" i="36" l="1"/>
  <c r="C142" i="36" s="1"/>
  <c r="D142" i="36" l="1"/>
  <c r="E142" i="36" l="1"/>
  <c r="G142" i="36" l="1"/>
  <c r="C143" i="36" s="1"/>
  <c r="D143" i="36" l="1"/>
  <c r="E143" i="36" l="1"/>
  <c r="G143" i="36" l="1"/>
  <c r="C144" i="36" s="1"/>
  <c r="D144" i="36" l="1"/>
  <c r="E144" i="36" s="1"/>
  <c r="G144" i="36" s="1"/>
  <c r="C145" i="36" s="1"/>
  <c r="D145" i="36" l="1"/>
  <c r="E145" i="36" s="1"/>
  <c r="G145" i="36" s="1"/>
  <c r="C146" i="36" s="1"/>
  <c r="D146" i="36" l="1"/>
  <c r="E146" i="36" s="1"/>
  <c r="G146" i="36" s="1"/>
  <c r="C147" i="36" s="1"/>
  <c r="D147" i="36" l="1"/>
  <c r="E147" i="36" s="1"/>
  <c r="G147" i="36" s="1"/>
  <c r="C148" i="36" s="1"/>
  <c r="D148" i="36" l="1"/>
  <c r="E148" i="36" s="1"/>
  <c r="G148" i="36" s="1"/>
  <c r="C149" i="36" s="1"/>
  <c r="D149" i="36" l="1"/>
  <c r="E149" i="36" s="1"/>
  <c r="G149" i="36" s="1"/>
  <c r="C150" i="36" s="1"/>
  <c r="D150" i="36" l="1"/>
  <c r="E150" i="36" s="1"/>
  <c r="G150" i="36" s="1"/>
  <c r="C151" i="36" l="1"/>
  <c r="H141" i="36"/>
  <c r="L141" i="36" s="1"/>
  <c r="H149" i="36"/>
  <c r="L149" i="36" s="1"/>
  <c r="H142" i="36"/>
  <c r="L142" i="36" s="1"/>
  <c r="H150" i="36"/>
  <c r="L150" i="36" s="1"/>
  <c r="H143" i="36"/>
  <c r="L143" i="36" s="1"/>
  <c r="H144" i="36"/>
  <c r="L144" i="36" s="1"/>
  <c r="H145" i="36"/>
  <c r="L145" i="36" s="1"/>
  <c r="H146" i="36"/>
  <c r="L146" i="36" s="1"/>
  <c r="H139" i="36"/>
  <c r="H147" i="36"/>
  <c r="L147" i="36" s="1"/>
  <c r="H140" i="36"/>
  <c r="L140" i="36" s="1"/>
  <c r="H148" i="36"/>
  <c r="L148" i="36" s="1"/>
  <c r="O32" i="41" l="1"/>
  <c r="L139" i="36"/>
  <c r="D151" i="36"/>
  <c r="J154" i="36"/>
  <c r="I157" i="36"/>
  <c r="J162" i="36"/>
  <c r="I152" i="36"/>
  <c r="J157" i="36"/>
  <c r="I160" i="36"/>
  <c r="J152" i="36"/>
  <c r="I155" i="36"/>
  <c r="J160" i="36"/>
  <c r="J155" i="36"/>
  <c r="I158" i="36"/>
  <c r="I153" i="36"/>
  <c r="J158" i="36"/>
  <c r="I161" i="36"/>
  <c r="J153" i="36"/>
  <c r="I156" i="36"/>
  <c r="J161" i="36"/>
  <c r="I151" i="36"/>
  <c r="J156" i="36"/>
  <c r="I159" i="36"/>
  <c r="J151" i="36"/>
  <c r="I154" i="36"/>
  <c r="K154" i="36" s="1"/>
  <c r="J159" i="36"/>
  <c r="I162" i="36"/>
  <c r="K159" i="36" l="1"/>
  <c r="K153" i="36"/>
  <c r="K152" i="36"/>
  <c r="K157" i="36"/>
  <c r="K158" i="36"/>
  <c r="K151" i="36"/>
  <c r="P33" i="41" s="1"/>
  <c r="K156" i="36"/>
  <c r="K155" i="36"/>
  <c r="K162" i="36"/>
  <c r="E151" i="36"/>
  <c r="K161" i="36"/>
  <c r="K160" i="36"/>
  <c r="G151" i="36" l="1"/>
  <c r="C152" i="36" s="1"/>
  <c r="D152" i="36" l="1"/>
  <c r="E152" i="36" l="1"/>
  <c r="G152" i="36" l="1"/>
  <c r="C153" i="36" s="1"/>
  <c r="D153" i="36" l="1"/>
  <c r="E153" i="36" l="1"/>
  <c r="G153" i="36" l="1"/>
  <c r="C154" i="36" s="1"/>
  <c r="D154" i="36" l="1"/>
  <c r="E154" i="36" l="1"/>
  <c r="G154" i="36" l="1"/>
  <c r="C155" i="36" s="1"/>
  <c r="D155" i="36" l="1"/>
  <c r="E155" i="36" l="1"/>
  <c r="G155" i="36" l="1"/>
  <c r="C156" i="36" s="1"/>
  <c r="D156" i="36" l="1"/>
  <c r="E156" i="36" s="1"/>
  <c r="G156" i="36" s="1"/>
  <c r="C157" i="36" s="1"/>
  <c r="D157" i="36" l="1"/>
  <c r="E157" i="36" s="1"/>
  <c r="G157" i="36" s="1"/>
  <c r="C158" i="36" s="1"/>
  <c r="D158" i="36" l="1"/>
  <c r="E158" i="36" s="1"/>
  <c r="G158" i="36" s="1"/>
  <c r="C159" i="36" s="1"/>
  <c r="D159" i="36" l="1"/>
  <c r="E159" i="36" s="1"/>
  <c r="G159" i="36" s="1"/>
  <c r="C160" i="36" s="1"/>
  <c r="D160" i="36" l="1"/>
  <c r="E160" i="36" s="1"/>
  <c r="G160" i="36" s="1"/>
  <c r="C161" i="36" s="1"/>
  <c r="D161" i="36" l="1"/>
  <c r="E161" i="36" s="1"/>
  <c r="G161" i="36" s="1"/>
  <c r="C162" i="36" s="1"/>
  <c r="D162" i="36" l="1"/>
  <c r="E162" i="36" s="1"/>
  <c r="G162" i="36" s="1"/>
  <c r="C163" i="36" l="1"/>
  <c r="H157" i="36"/>
  <c r="L157" i="36" s="1"/>
  <c r="H158" i="36"/>
  <c r="L158" i="36" s="1"/>
  <c r="H151" i="36"/>
  <c r="H159" i="36"/>
  <c r="L159" i="36" s="1"/>
  <c r="H152" i="36"/>
  <c r="L152" i="36" s="1"/>
  <c r="H160" i="36"/>
  <c r="L160" i="36" s="1"/>
  <c r="H153" i="36"/>
  <c r="L153" i="36" s="1"/>
  <c r="H161" i="36"/>
  <c r="L161" i="36" s="1"/>
  <c r="H154" i="36"/>
  <c r="L154" i="36" s="1"/>
  <c r="H162" i="36"/>
  <c r="L162" i="36" s="1"/>
  <c r="H155" i="36"/>
  <c r="L155" i="36" s="1"/>
  <c r="H156" i="36"/>
  <c r="L156" i="36" s="1"/>
  <c r="P32" i="41" l="1"/>
  <c r="L151" i="36"/>
  <c r="D163" i="36"/>
  <c r="I165" i="36"/>
  <c r="J170" i="36"/>
  <c r="I173" i="36"/>
  <c r="J165" i="36"/>
  <c r="I168" i="36"/>
  <c r="K168" i="36" s="1"/>
  <c r="J173" i="36"/>
  <c r="I163" i="36"/>
  <c r="J168" i="36"/>
  <c r="I171" i="36"/>
  <c r="J163" i="36"/>
  <c r="I166" i="36"/>
  <c r="J171" i="36"/>
  <c r="I174" i="36"/>
  <c r="K174" i="36" s="1"/>
  <c r="J166" i="36"/>
  <c r="I169" i="36"/>
  <c r="J174" i="36"/>
  <c r="I164" i="36"/>
  <c r="J169" i="36"/>
  <c r="I172" i="36"/>
  <c r="J164" i="36"/>
  <c r="I167" i="36"/>
  <c r="J172" i="36"/>
  <c r="J167" i="36"/>
  <c r="I170" i="36"/>
  <c r="K167" i="36" l="1"/>
  <c r="K173" i="36"/>
  <c r="K166" i="36"/>
  <c r="K171" i="36"/>
  <c r="K165" i="36"/>
  <c r="K172" i="36"/>
  <c r="K164" i="36"/>
  <c r="E163" i="36"/>
  <c r="K170" i="36"/>
  <c r="K163" i="36"/>
  <c r="Q33" i="41" s="1"/>
  <c r="K169" i="36"/>
  <c r="G163" i="36" l="1"/>
  <c r="C164" i="36" s="1"/>
  <c r="D164" i="36" l="1"/>
  <c r="E164" i="36" l="1"/>
  <c r="G164" i="36" l="1"/>
  <c r="C165" i="36" s="1"/>
  <c r="D165" i="36" l="1"/>
  <c r="E165" i="36" l="1"/>
  <c r="G165" i="36" l="1"/>
  <c r="C166" i="36" s="1"/>
  <c r="D166" i="36" l="1"/>
  <c r="E166" i="36" l="1"/>
  <c r="G166" i="36" l="1"/>
  <c r="C167" i="36" s="1"/>
  <c r="D167" i="36" l="1"/>
  <c r="E167" i="36" l="1"/>
  <c r="G167" i="36" l="1"/>
  <c r="C168" i="36" s="1"/>
  <c r="D168" i="36" l="1"/>
  <c r="E168" i="36" s="1"/>
  <c r="G168" i="36" s="1"/>
  <c r="C169" i="36" s="1"/>
  <c r="D169" i="36" l="1"/>
  <c r="E169" i="36" s="1"/>
  <c r="G169" i="36" s="1"/>
  <c r="C170" i="36" s="1"/>
  <c r="D170" i="36" l="1"/>
  <c r="E170" i="36" s="1"/>
  <c r="G170" i="36" s="1"/>
  <c r="C171" i="36" s="1"/>
  <c r="D171" i="36" l="1"/>
  <c r="E171" i="36" s="1"/>
  <c r="G171" i="36" s="1"/>
  <c r="C172" i="36" s="1"/>
  <c r="D172" i="36" l="1"/>
  <c r="E172" i="36" s="1"/>
  <c r="G172" i="36" s="1"/>
  <c r="C173" i="36" s="1"/>
  <c r="D173" i="36" l="1"/>
  <c r="E173" i="36" s="1"/>
  <c r="G173" i="36" s="1"/>
  <c r="C174" i="36" s="1"/>
  <c r="D174" i="36" l="1"/>
  <c r="E174" i="36" s="1"/>
  <c r="G174" i="36" s="1"/>
  <c r="C175" i="36" l="1"/>
  <c r="H165" i="36"/>
  <c r="L165" i="36" s="1"/>
  <c r="H173" i="36"/>
  <c r="L173" i="36" s="1"/>
  <c r="H166" i="36"/>
  <c r="L166" i="36" s="1"/>
  <c r="H174" i="36"/>
  <c r="L174" i="36" s="1"/>
  <c r="H167" i="36"/>
  <c r="L167" i="36" s="1"/>
  <c r="H168" i="36"/>
  <c r="L168" i="36" s="1"/>
  <c r="H169" i="36"/>
  <c r="L169" i="36" s="1"/>
  <c r="H170" i="36"/>
  <c r="L170" i="36" s="1"/>
  <c r="H163" i="36"/>
  <c r="H171" i="36"/>
  <c r="L171" i="36" s="1"/>
  <c r="H164" i="36"/>
  <c r="L164" i="36" s="1"/>
  <c r="H172" i="36"/>
  <c r="L172" i="36" s="1"/>
  <c r="Q32" i="41" l="1"/>
  <c r="L163" i="36"/>
  <c r="D175" i="36"/>
  <c r="J178" i="36"/>
  <c r="I181" i="36"/>
  <c r="J186" i="36"/>
  <c r="I176" i="36"/>
  <c r="J181" i="36"/>
  <c r="I184" i="36"/>
  <c r="J176" i="36"/>
  <c r="I179" i="36"/>
  <c r="J184" i="36"/>
  <c r="J179" i="36"/>
  <c r="I182" i="36"/>
  <c r="I177" i="36"/>
  <c r="J182" i="36"/>
  <c r="I185" i="36"/>
  <c r="J177" i="36"/>
  <c r="I180" i="36"/>
  <c r="J185" i="36"/>
  <c r="I175" i="36"/>
  <c r="J180" i="36"/>
  <c r="I183" i="36"/>
  <c r="J175" i="36"/>
  <c r="I178" i="36"/>
  <c r="K178" i="36" s="1"/>
  <c r="J183" i="36"/>
  <c r="I186" i="36"/>
  <c r="K177" i="36" l="1"/>
  <c r="K176" i="36"/>
  <c r="K183" i="36"/>
  <c r="K181" i="36"/>
  <c r="K175" i="36"/>
  <c r="K180" i="36"/>
  <c r="K179" i="36"/>
  <c r="K182" i="36"/>
  <c r="K186" i="36"/>
  <c r="E175" i="36"/>
  <c r="K185" i="36"/>
  <c r="K184" i="36"/>
  <c r="R33" i="41" l="1"/>
  <c r="G175" i="36"/>
  <c r="C176" i="36" s="1"/>
  <c r="D176" i="36" l="1"/>
  <c r="E176" i="36" l="1"/>
  <c r="G176" i="36" l="1"/>
  <c r="C177" i="36" s="1"/>
  <c r="D177" i="36" l="1"/>
  <c r="E177" i="36" l="1"/>
  <c r="G177" i="36" l="1"/>
  <c r="C178" i="36" s="1"/>
  <c r="D178" i="36" l="1"/>
  <c r="E178" i="36" l="1"/>
  <c r="G178" i="36" l="1"/>
  <c r="C179" i="36" s="1"/>
  <c r="D179" i="36" l="1"/>
  <c r="E179" i="36" l="1"/>
  <c r="G179" i="36" l="1"/>
  <c r="C180" i="36" s="1"/>
  <c r="D180" i="36" l="1"/>
  <c r="E180" i="36" s="1"/>
  <c r="G180" i="36" s="1"/>
  <c r="C181" i="36" s="1"/>
  <c r="D181" i="36" l="1"/>
  <c r="E181" i="36" s="1"/>
  <c r="G181" i="36" s="1"/>
  <c r="C182" i="36" s="1"/>
  <c r="D182" i="36" l="1"/>
  <c r="E182" i="36" s="1"/>
  <c r="G182" i="36" s="1"/>
  <c r="C183" i="36" s="1"/>
  <c r="D183" i="36" l="1"/>
  <c r="E183" i="36" s="1"/>
  <c r="G183" i="36" s="1"/>
  <c r="C184" i="36" s="1"/>
  <c r="D184" i="36" l="1"/>
  <c r="E184" i="36" s="1"/>
  <c r="G184" i="36" s="1"/>
  <c r="C185" i="36" s="1"/>
  <c r="D185" i="36" l="1"/>
  <c r="E185" i="36" s="1"/>
  <c r="G185" i="36" s="1"/>
  <c r="C186" i="36" s="1"/>
  <c r="D186" i="36" l="1"/>
  <c r="E186" i="36" s="1"/>
  <c r="G186" i="36" s="1"/>
  <c r="C187" i="36" l="1"/>
  <c r="H181" i="36"/>
  <c r="L181" i="36" s="1"/>
  <c r="H182" i="36"/>
  <c r="L182" i="36" s="1"/>
  <c r="H175" i="36"/>
  <c r="H183" i="36"/>
  <c r="L183" i="36" s="1"/>
  <c r="H176" i="36"/>
  <c r="L176" i="36" s="1"/>
  <c r="H184" i="36"/>
  <c r="L184" i="36" s="1"/>
  <c r="H177" i="36"/>
  <c r="L177" i="36" s="1"/>
  <c r="H185" i="36"/>
  <c r="L185" i="36" s="1"/>
  <c r="H178" i="36"/>
  <c r="L178" i="36" s="1"/>
  <c r="H186" i="36"/>
  <c r="L186" i="36" s="1"/>
  <c r="H179" i="36"/>
  <c r="L179" i="36" s="1"/>
  <c r="H180" i="36"/>
  <c r="L180" i="36" s="1"/>
  <c r="R32" i="41" l="1"/>
  <c r="L175" i="36"/>
  <c r="D187" i="36"/>
  <c r="I189" i="36"/>
  <c r="J194" i="36"/>
  <c r="I197" i="36"/>
  <c r="J189" i="36"/>
  <c r="I192" i="36"/>
  <c r="K192" i="36" s="1"/>
  <c r="J197" i="36"/>
  <c r="I187" i="36"/>
  <c r="J192" i="36"/>
  <c r="I195" i="36"/>
  <c r="J187" i="36"/>
  <c r="I190" i="36"/>
  <c r="J195" i="36"/>
  <c r="I198" i="36"/>
  <c r="J190" i="36"/>
  <c r="I193" i="36"/>
  <c r="J198" i="36"/>
  <c r="I188" i="36"/>
  <c r="J193" i="36"/>
  <c r="I196" i="36"/>
  <c r="J188" i="36"/>
  <c r="I191" i="36"/>
  <c r="J196" i="36"/>
  <c r="I194" i="36"/>
  <c r="J191" i="36"/>
  <c r="K198" i="36" l="1"/>
  <c r="K191" i="36"/>
  <c r="K197" i="36"/>
  <c r="K196" i="36"/>
  <c r="K195" i="36"/>
  <c r="K189" i="36"/>
  <c r="K188" i="36"/>
  <c r="K190" i="36"/>
  <c r="E187" i="36"/>
  <c r="K193" i="36"/>
  <c r="K187" i="36"/>
  <c r="S33" i="41" s="1"/>
  <c r="K194" i="36"/>
  <c r="G187" i="36" l="1"/>
  <c r="C188" i="36" s="1"/>
  <c r="D188" i="36" l="1"/>
  <c r="E188" i="36" l="1"/>
  <c r="G188" i="36" l="1"/>
  <c r="C189" i="36" s="1"/>
  <c r="D189" i="36" l="1"/>
  <c r="E189" i="36" l="1"/>
  <c r="G189" i="36" l="1"/>
  <c r="C190" i="36" s="1"/>
  <c r="D190" i="36" l="1"/>
  <c r="E190" i="36" l="1"/>
  <c r="G190" i="36" l="1"/>
  <c r="C191" i="36" s="1"/>
  <c r="D191" i="36" l="1"/>
  <c r="E191" i="36" l="1"/>
  <c r="G191" i="36" l="1"/>
  <c r="C192" i="36" s="1"/>
  <c r="D192" i="36" l="1"/>
  <c r="E192" i="36" s="1"/>
  <c r="G192" i="36" s="1"/>
  <c r="C193" i="36" s="1"/>
  <c r="D193" i="36" l="1"/>
  <c r="E193" i="36" s="1"/>
  <c r="G193" i="36" s="1"/>
  <c r="C194" i="36" s="1"/>
  <c r="D194" i="36" l="1"/>
  <c r="E194" i="36" s="1"/>
  <c r="G194" i="36" s="1"/>
  <c r="C195" i="36" s="1"/>
  <c r="D195" i="36" l="1"/>
  <c r="E195" i="36" s="1"/>
  <c r="G195" i="36" s="1"/>
  <c r="C196" i="36" s="1"/>
  <c r="D196" i="36" l="1"/>
  <c r="E196" i="36" s="1"/>
  <c r="G196" i="36" s="1"/>
  <c r="C197" i="36" s="1"/>
  <c r="D197" i="36" l="1"/>
  <c r="E197" i="36" s="1"/>
  <c r="G197" i="36" s="1"/>
  <c r="C198" i="36" s="1"/>
  <c r="D198" i="36" l="1"/>
  <c r="E198" i="36" s="1"/>
  <c r="G198" i="36" s="1"/>
  <c r="C199" i="36" l="1"/>
  <c r="H189" i="36"/>
  <c r="L189" i="36" s="1"/>
  <c r="H197" i="36"/>
  <c r="L197" i="36" s="1"/>
  <c r="H190" i="36"/>
  <c r="L190" i="36" s="1"/>
  <c r="H198" i="36"/>
  <c r="L198" i="36" s="1"/>
  <c r="H191" i="36"/>
  <c r="L191" i="36" s="1"/>
  <c r="H192" i="36"/>
  <c r="L192" i="36" s="1"/>
  <c r="H193" i="36"/>
  <c r="L193" i="36" s="1"/>
  <c r="H194" i="36"/>
  <c r="L194" i="36" s="1"/>
  <c r="H187" i="36"/>
  <c r="H195" i="36"/>
  <c r="L195" i="36" s="1"/>
  <c r="H188" i="36"/>
  <c r="L188" i="36" s="1"/>
  <c r="H196" i="36"/>
  <c r="L196" i="36" s="1"/>
  <c r="S32" i="41" l="1"/>
  <c r="L187" i="36"/>
  <c r="D199" i="36"/>
  <c r="J202" i="36"/>
  <c r="I205" i="36"/>
  <c r="J210" i="36"/>
  <c r="I200" i="36"/>
  <c r="J205" i="36"/>
  <c r="I208" i="36"/>
  <c r="J200" i="36"/>
  <c r="I203" i="36"/>
  <c r="J208" i="36"/>
  <c r="J203" i="36"/>
  <c r="I206" i="36"/>
  <c r="I201" i="36"/>
  <c r="K201" i="36" s="1"/>
  <c r="J206" i="36"/>
  <c r="I209" i="36"/>
  <c r="J201" i="36"/>
  <c r="I204" i="36"/>
  <c r="J209" i="36"/>
  <c r="I199" i="36"/>
  <c r="J204" i="36"/>
  <c r="I207" i="36"/>
  <c r="J199" i="36"/>
  <c r="I202" i="36"/>
  <c r="K202" i="36" s="1"/>
  <c r="J207" i="36"/>
  <c r="I210" i="36"/>
  <c r="K207" i="36" l="1"/>
  <c r="K200" i="36"/>
  <c r="K206" i="36"/>
  <c r="K205" i="36"/>
  <c r="K204" i="36"/>
  <c r="K203" i="36"/>
  <c r="K210" i="36"/>
  <c r="E199" i="36"/>
  <c r="K199" i="36"/>
  <c r="T33" i="41" s="1"/>
  <c r="K209" i="36"/>
  <c r="K208" i="36"/>
  <c r="G199" i="36" l="1"/>
  <c r="C200" i="36" s="1"/>
  <c r="D200" i="36" l="1"/>
  <c r="E200" i="36" l="1"/>
  <c r="G200" i="36" l="1"/>
  <c r="C201" i="36" s="1"/>
  <c r="D201" i="36" l="1"/>
  <c r="E201" i="36" l="1"/>
  <c r="G201" i="36" l="1"/>
  <c r="C202" i="36" s="1"/>
  <c r="D202" i="36" l="1"/>
  <c r="E202" i="36" l="1"/>
  <c r="G202" i="36" l="1"/>
  <c r="C203" i="36" s="1"/>
  <c r="D203" i="36" l="1"/>
  <c r="E203" i="36" l="1"/>
  <c r="G203" i="36" l="1"/>
  <c r="C204" i="36" s="1"/>
  <c r="D204" i="36" l="1"/>
  <c r="E204" i="36" s="1"/>
  <c r="G204" i="36" s="1"/>
  <c r="C205" i="36" s="1"/>
  <c r="D205" i="36" l="1"/>
  <c r="E205" i="36" s="1"/>
  <c r="G205" i="36" s="1"/>
  <c r="C206" i="36" s="1"/>
  <c r="D206" i="36" l="1"/>
  <c r="E206" i="36" s="1"/>
  <c r="G206" i="36" s="1"/>
  <c r="C207" i="36" s="1"/>
  <c r="D207" i="36" l="1"/>
  <c r="E207" i="36" s="1"/>
  <c r="G207" i="36" s="1"/>
  <c r="C208" i="36" s="1"/>
  <c r="D208" i="36" l="1"/>
  <c r="E208" i="36" s="1"/>
  <c r="G208" i="36" s="1"/>
  <c r="C209" i="36" s="1"/>
  <c r="D209" i="36" l="1"/>
  <c r="E209" i="36" s="1"/>
  <c r="G209" i="36" s="1"/>
  <c r="C210" i="36" s="1"/>
  <c r="D210" i="36" l="1"/>
  <c r="E210" i="36" s="1"/>
  <c r="G210" i="36" s="1"/>
  <c r="C211" i="36" l="1"/>
  <c r="H205" i="36"/>
  <c r="L205" i="36" s="1"/>
  <c r="H206" i="36"/>
  <c r="L206" i="36" s="1"/>
  <c r="H199" i="36"/>
  <c r="H207" i="36"/>
  <c r="L207" i="36" s="1"/>
  <c r="H200" i="36"/>
  <c r="L200" i="36" s="1"/>
  <c r="H208" i="36"/>
  <c r="L208" i="36" s="1"/>
  <c r="H201" i="36"/>
  <c r="L201" i="36" s="1"/>
  <c r="H209" i="36"/>
  <c r="L209" i="36" s="1"/>
  <c r="H202" i="36"/>
  <c r="L202" i="36" s="1"/>
  <c r="H210" i="36"/>
  <c r="L210" i="36" s="1"/>
  <c r="H203" i="36"/>
  <c r="L203" i="36" s="1"/>
  <c r="H204" i="36"/>
  <c r="L204" i="36" s="1"/>
  <c r="T32" i="41" l="1"/>
  <c r="L199" i="36"/>
  <c r="D211" i="36"/>
  <c r="I213" i="36"/>
  <c r="J218" i="36"/>
  <c r="I221" i="36"/>
  <c r="J213" i="36"/>
  <c r="I216" i="36"/>
  <c r="K216" i="36" s="1"/>
  <c r="J221" i="36"/>
  <c r="I211" i="36"/>
  <c r="J216" i="36"/>
  <c r="I219" i="36"/>
  <c r="J211" i="36"/>
  <c r="I214" i="36"/>
  <c r="J219" i="36"/>
  <c r="I222" i="36"/>
  <c r="K222" i="36" s="1"/>
  <c r="J214" i="36"/>
  <c r="I217" i="36"/>
  <c r="J222" i="36"/>
  <c r="I212" i="36"/>
  <c r="J217" i="36"/>
  <c r="I220" i="36"/>
  <c r="J212" i="36"/>
  <c r="I215" i="36"/>
  <c r="K215" i="36" s="1"/>
  <c r="J220" i="36"/>
  <c r="J215" i="36"/>
  <c r="I218" i="36"/>
  <c r="K221" i="36" l="1"/>
  <c r="K220" i="36"/>
  <c r="K219" i="36"/>
  <c r="K214" i="36"/>
  <c r="K218" i="36"/>
  <c r="K212" i="36"/>
  <c r="K213" i="36"/>
  <c r="E211" i="36"/>
  <c r="K211" i="36"/>
  <c r="U33" i="41" s="1"/>
  <c r="K217" i="36"/>
  <c r="G211" i="36" l="1"/>
  <c r="C212" i="36" s="1"/>
  <c r="D212" i="36" l="1"/>
  <c r="E212" i="36" l="1"/>
  <c r="G212" i="36" l="1"/>
  <c r="C213" i="36" s="1"/>
  <c r="D213" i="36" l="1"/>
  <c r="E213" i="36" l="1"/>
  <c r="G213" i="36" l="1"/>
  <c r="C214" i="36" s="1"/>
  <c r="D214" i="36" l="1"/>
  <c r="E214" i="36" l="1"/>
  <c r="G214" i="36" l="1"/>
  <c r="C215" i="36" s="1"/>
  <c r="D215" i="36" l="1"/>
  <c r="E215" i="36" l="1"/>
  <c r="G215" i="36" l="1"/>
  <c r="C216" i="36" s="1"/>
  <c r="D216" i="36" l="1"/>
  <c r="E216" i="36" s="1"/>
  <c r="G216" i="36" s="1"/>
  <c r="C217" i="36" s="1"/>
  <c r="D217" i="36" l="1"/>
  <c r="E217" i="36" s="1"/>
  <c r="G217" i="36" s="1"/>
  <c r="C218" i="36" s="1"/>
  <c r="D218" i="36" l="1"/>
  <c r="E218" i="36" s="1"/>
  <c r="G218" i="36" s="1"/>
  <c r="C219" i="36" s="1"/>
  <c r="D219" i="36" l="1"/>
  <c r="E219" i="36" s="1"/>
  <c r="G219" i="36" s="1"/>
  <c r="C220" i="36" s="1"/>
  <c r="D220" i="36" l="1"/>
  <c r="E220" i="36" s="1"/>
  <c r="G220" i="36" s="1"/>
  <c r="C221" i="36" s="1"/>
  <c r="D221" i="36" l="1"/>
  <c r="E221" i="36" s="1"/>
  <c r="G221" i="36" s="1"/>
  <c r="C222" i="36" s="1"/>
  <c r="D222" i="36" l="1"/>
  <c r="E222" i="36" s="1"/>
  <c r="G222" i="36" s="1"/>
  <c r="C223" i="36" l="1"/>
  <c r="H213" i="36"/>
  <c r="L213" i="36" s="1"/>
  <c r="H221" i="36"/>
  <c r="L221" i="36" s="1"/>
  <c r="H214" i="36"/>
  <c r="L214" i="36" s="1"/>
  <c r="H222" i="36"/>
  <c r="L222" i="36" s="1"/>
  <c r="H215" i="36"/>
  <c r="L215" i="36" s="1"/>
  <c r="H216" i="36"/>
  <c r="L216" i="36" s="1"/>
  <c r="H217" i="36"/>
  <c r="L217" i="36" s="1"/>
  <c r="H218" i="36"/>
  <c r="L218" i="36" s="1"/>
  <c r="H211" i="36"/>
  <c r="H219" i="36"/>
  <c r="L219" i="36" s="1"/>
  <c r="H212" i="36"/>
  <c r="L212" i="36" s="1"/>
  <c r="H220" i="36"/>
  <c r="L220" i="36" s="1"/>
  <c r="U32" i="41" l="1"/>
  <c r="L211" i="36"/>
  <c r="D223" i="36"/>
  <c r="J226" i="36"/>
  <c r="I229" i="36"/>
  <c r="J234" i="36"/>
  <c r="I224" i="36"/>
  <c r="K224" i="36" s="1"/>
  <c r="J229" i="36"/>
  <c r="I232" i="36"/>
  <c r="J224" i="36"/>
  <c r="I227" i="36"/>
  <c r="J232" i="36"/>
  <c r="J227" i="36"/>
  <c r="I230" i="36"/>
  <c r="I225" i="36"/>
  <c r="J230" i="36"/>
  <c r="I233" i="36"/>
  <c r="I223" i="36"/>
  <c r="J228" i="36"/>
  <c r="I231" i="36"/>
  <c r="J231" i="36"/>
  <c r="J233" i="36"/>
  <c r="J223" i="36"/>
  <c r="I234" i="36"/>
  <c r="J225" i="36"/>
  <c r="I226" i="36"/>
  <c r="I228" i="36"/>
  <c r="K228" i="36" s="1"/>
  <c r="K234" i="36" l="1"/>
  <c r="K226" i="36"/>
  <c r="K225" i="36"/>
  <c r="K230" i="36"/>
  <c r="K229" i="36"/>
  <c r="K231" i="36"/>
  <c r="K227" i="36"/>
  <c r="K223" i="36"/>
  <c r="E223" i="36"/>
  <c r="K233" i="36"/>
  <c r="K232" i="36"/>
  <c r="V33" i="41" l="1"/>
  <c r="G223" i="36"/>
  <c r="C224" i="36" s="1"/>
  <c r="D224" i="36" l="1"/>
  <c r="E224" i="36" l="1"/>
  <c r="G224" i="36" l="1"/>
  <c r="C225" i="36" s="1"/>
  <c r="D225" i="36" l="1"/>
  <c r="E225" i="36" l="1"/>
  <c r="G225" i="36" l="1"/>
  <c r="C226" i="36" s="1"/>
  <c r="D226" i="36" l="1"/>
  <c r="E226" i="36" l="1"/>
  <c r="G226" i="36" l="1"/>
  <c r="C227" i="36" s="1"/>
  <c r="D227" i="36" l="1"/>
  <c r="E227" i="36" l="1"/>
  <c r="G227" i="36" l="1"/>
  <c r="C228" i="36" s="1"/>
  <c r="D228" i="36" l="1"/>
  <c r="E228" i="36" s="1"/>
  <c r="G228" i="36" s="1"/>
  <c r="C229" i="36" s="1"/>
  <c r="D229" i="36" l="1"/>
  <c r="E229" i="36" s="1"/>
  <c r="G229" i="36" s="1"/>
  <c r="C230" i="36" s="1"/>
  <c r="D230" i="36" l="1"/>
  <c r="E230" i="36" s="1"/>
  <c r="G230" i="36" s="1"/>
  <c r="C231" i="36" s="1"/>
  <c r="D231" i="36" l="1"/>
  <c r="E231" i="36" s="1"/>
  <c r="G231" i="36" s="1"/>
  <c r="C232" i="36" s="1"/>
  <c r="D232" i="36" l="1"/>
  <c r="E232" i="36" s="1"/>
  <c r="G232" i="36" s="1"/>
  <c r="C233" i="36" s="1"/>
  <c r="D233" i="36" l="1"/>
  <c r="E233" i="36" s="1"/>
  <c r="G233" i="36" s="1"/>
  <c r="C234" i="36" s="1"/>
  <c r="D234" i="36" l="1"/>
  <c r="E234" i="36" s="1"/>
  <c r="G234" i="36" s="1"/>
  <c r="C235" i="36" l="1"/>
  <c r="H229" i="36"/>
  <c r="L229" i="36" s="1"/>
  <c r="H230" i="36"/>
  <c r="L230" i="36" s="1"/>
  <c r="H223" i="36"/>
  <c r="H231" i="36"/>
  <c r="L231" i="36" s="1"/>
  <c r="H224" i="36"/>
  <c r="L224" i="36" s="1"/>
  <c r="H232" i="36"/>
  <c r="L232" i="36" s="1"/>
  <c r="H225" i="36"/>
  <c r="L225" i="36" s="1"/>
  <c r="H233" i="36"/>
  <c r="L233" i="36" s="1"/>
  <c r="H226" i="36"/>
  <c r="L226" i="36" s="1"/>
  <c r="H234" i="36"/>
  <c r="L234" i="36" s="1"/>
  <c r="H227" i="36"/>
  <c r="L227" i="36" s="1"/>
  <c r="H228" i="36"/>
  <c r="L228" i="36" s="1"/>
  <c r="V32" i="41" l="1"/>
  <c r="L223" i="36"/>
  <c r="D235" i="36"/>
  <c r="I237" i="36"/>
  <c r="J242" i="36"/>
  <c r="I245" i="36"/>
  <c r="J237" i="36"/>
  <c r="I240" i="36"/>
  <c r="K240" i="36" s="1"/>
  <c r="J245" i="36"/>
  <c r="I235" i="36"/>
  <c r="J240" i="36"/>
  <c r="I243" i="36"/>
  <c r="J235" i="36"/>
  <c r="I238" i="36"/>
  <c r="J243" i="36"/>
  <c r="I246" i="36"/>
  <c r="J238" i="36"/>
  <c r="I241" i="36"/>
  <c r="J236" i="36"/>
  <c r="I239" i="36"/>
  <c r="J244" i="36"/>
  <c r="J241" i="36"/>
  <c r="I242" i="36"/>
  <c r="I244" i="36"/>
  <c r="I236" i="36"/>
  <c r="J246" i="36"/>
  <c r="J239" i="36"/>
  <c r="K246" i="36" l="1"/>
  <c r="K242" i="36"/>
  <c r="K244" i="36"/>
  <c r="K239" i="36"/>
  <c r="K245" i="36"/>
  <c r="K238" i="36"/>
  <c r="K243" i="36"/>
  <c r="K237" i="36"/>
  <c r="E235" i="36"/>
  <c r="K241" i="36"/>
  <c r="K235" i="36"/>
  <c r="W33" i="41" s="1"/>
  <c r="K236" i="36"/>
  <c r="G235" i="36" l="1"/>
  <c r="C236" i="36" s="1"/>
  <c r="D236" i="36" l="1"/>
  <c r="E236" i="36" l="1"/>
  <c r="G236" i="36" l="1"/>
  <c r="C237" i="36" s="1"/>
  <c r="D237" i="36" l="1"/>
  <c r="E237" i="36" l="1"/>
  <c r="G237" i="36" l="1"/>
  <c r="C238" i="36" s="1"/>
  <c r="D238" i="36" l="1"/>
  <c r="E238" i="36" l="1"/>
  <c r="G238" i="36" l="1"/>
  <c r="C239" i="36" s="1"/>
  <c r="D239" i="36" l="1"/>
  <c r="E239" i="36" l="1"/>
  <c r="G239" i="36" l="1"/>
  <c r="C240" i="36" s="1"/>
  <c r="D240" i="36" l="1"/>
  <c r="E240" i="36" s="1"/>
  <c r="G240" i="36" s="1"/>
  <c r="C241" i="36" s="1"/>
  <c r="D241" i="36" l="1"/>
  <c r="E241" i="36" s="1"/>
  <c r="G241" i="36" s="1"/>
  <c r="C242" i="36" s="1"/>
  <c r="D242" i="36" l="1"/>
  <c r="E242" i="36" s="1"/>
  <c r="G242" i="36" s="1"/>
  <c r="C243" i="36" s="1"/>
  <c r="D243" i="36" l="1"/>
  <c r="E243" i="36" s="1"/>
  <c r="G243" i="36" s="1"/>
  <c r="C244" i="36" s="1"/>
  <c r="D244" i="36" l="1"/>
  <c r="E244" i="36" s="1"/>
  <c r="G244" i="36" s="1"/>
  <c r="C245" i="36" s="1"/>
  <c r="D245" i="36" l="1"/>
  <c r="E245" i="36" s="1"/>
  <c r="G245" i="36" s="1"/>
  <c r="C246" i="36" s="1"/>
  <c r="D246" i="36" l="1"/>
  <c r="E246" i="36" s="1"/>
  <c r="G246" i="36" s="1"/>
  <c r="C247" i="36" l="1"/>
  <c r="H237" i="36"/>
  <c r="L237" i="36" s="1"/>
  <c r="H245" i="36"/>
  <c r="L245" i="36" s="1"/>
  <c r="H238" i="36"/>
  <c r="L238" i="36" s="1"/>
  <c r="H246" i="36"/>
  <c r="L246" i="36" s="1"/>
  <c r="H239" i="36"/>
  <c r="L239" i="36" s="1"/>
  <c r="H240" i="36"/>
  <c r="L240" i="36" s="1"/>
  <c r="H241" i="36"/>
  <c r="L241" i="36" s="1"/>
  <c r="H242" i="36"/>
  <c r="L242" i="36" s="1"/>
  <c r="H235" i="36"/>
  <c r="H243" i="36"/>
  <c r="L243" i="36" s="1"/>
  <c r="H236" i="36"/>
  <c r="L236" i="36" s="1"/>
  <c r="H244" i="36"/>
  <c r="L244" i="36" s="1"/>
  <c r="W32" i="41" l="1"/>
  <c r="L235" i="36"/>
  <c r="D247" i="36"/>
  <c r="I248" i="36"/>
  <c r="I247" i="36"/>
  <c r="J248" i="36"/>
  <c r="I251" i="36"/>
  <c r="J256" i="36"/>
  <c r="J251" i="36"/>
  <c r="I254" i="36"/>
  <c r="I249" i="36"/>
  <c r="J254" i="36"/>
  <c r="I257" i="36"/>
  <c r="J249" i="36"/>
  <c r="I252" i="36"/>
  <c r="J257" i="36"/>
  <c r="J252" i="36"/>
  <c r="I255" i="36"/>
  <c r="I250" i="36"/>
  <c r="J255" i="36"/>
  <c r="I258" i="36"/>
  <c r="J250" i="36"/>
  <c r="I253" i="36"/>
  <c r="K253" i="36" s="1"/>
  <c r="J258" i="36"/>
  <c r="J247" i="36"/>
  <c r="J253" i="36"/>
  <c r="I256" i="36"/>
  <c r="K251" i="36" l="1"/>
  <c r="K252" i="36"/>
  <c r="K247" i="36"/>
  <c r="X33" i="41"/>
  <c r="K258" i="36"/>
  <c r="K248" i="36"/>
  <c r="K257" i="36"/>
  <c r="K250" i="36"/>
  <c r="K249" i="36"/>
  <c r="K254" i="36"/>
  <c r="E247" i="36"/>
  <c r="K256" i="36"/>
  <c r="K255" i="36"/>
  <c r="G247" i="36" l="1"/>
  <c r="C248" i="36" s="1"/>
  <c r="D248" i="36" l="1"/>
  <c r="E248" i="36" l="1"/>
  <c r="G248" i="36" l="1"/>
  <c r="C249" i="36" s="1"/>
  <c r="D249" i="36" l="1"/>
  <c r="E249" i="36" l="1"/>
  <c r="G249" i="36" l="1"/>
  <c r="C250" i="36" s="1"/>
  <c r="D250" i="36" l="1"/>
  <c r="E250" i="36" l="1"/>
  <c r="G250" i="36" l="1"/>
  <c r="C251" i="36" s="1"/>
  <c r="D251" i="36" l="1"/>
  <c r="E251" i="36" l="1"/>
  <c r="G251" i="36" l="1"/>
  <c r="C252" i="36" s="1"/>
  <c r="D252" i="36" l="1"/>
  <c r="E252" i="36" s="1"/>
  <c r="G252" i="36" s="1"/>
  <c r="C253" i="36" s="1"/>
  <c r="D253" i="36" l="1"/>
  <c r="E253" i="36" s="1"/>
  <c r="G253" i="36" s="1"/>
  <c r="C254" i="36" s="1"/>
  <c r="D254" i="36" l="1"/>
  <c r="E254" i="36" s="1"/>
  <c r="G254" i="36" s="1"/>
  <c r="C255" i="36" s="1"/>
  <c r="D255" i="36" l="1"/>
  <c r="E255" i="36" s="1"/>
  <c r="G255" i="36" s="1"/>
  <c r="C256" i="36" s="1"/>
  <c r="D256" i="36" l="1"/>
  <c r="E256" i="36" s="1"/>
  <c r="G256" i="36" s="1"/>
  <c r="C257" i="36" s="1"/>
  <c r="D257" i="36" l="1"/>
  <c r="E257" i="36" s="1"/>
  <c r="G257" i="36" s="1"/>
  <c r="C258" i="36" s="1"/>
  <c r="D258" i="36" l="1"/>
  <c r="E258" i="36" s="1"/>
  <c r="G258" i="36" s="1"/>
  <c r="C259" i="36" l="1"/>
  <c r="H253" i="36"/>
  <c r="L253" i="36" s="1"/>
  <c r="H254" i="36"/>
  <c r="L254" i="36" s="1"/>
  <c r="H247" i="36"/>
  <c r="H255" i="36"/>
  <c r="L255" i="36" s="1"/>
  <c r="H248" i="36"/>
  <c r="L248" i="36" s="1"/>
  <c r="H256" i="36"/>
  <c r="L256" i="36" s="1"/>
  <c r="H249" i="36"/>
  <c r="L249" i="36" s="1"/>
  <c r="H257" i="36"/>
  <c r="L257" i="36" s="1"/>
  <c r="H250" i="36"/>
  <c r="L250" i="36" s="1"/>
  <c r="H258" i="36"/>
  <c r="L258" i="36" s="1"/>
  <c r="H251" i="36"/>
  <c r="L251" i="36" s="1"/>
  <c r="H252" i="36"/>
  <c r="L252" i="36" s="1"/>
  <c r="X32" i="41" l="1"/>
  <c r="L247" i="36"/>
  <c r="D259" i="36"/>
  <c r="I259" i="36"/>
  <c r="J264" i="36"/>
  <c r="I267" i="36"/>
  <c r="J259" i="36"/>
  <c r="I262" i="36"/>
  <c r="J267" i="36"/>
  <c r="I270" i="36"/>
  <c r="J262" i="36"/>
  <c r="I265" i="36"/>
  <c r="J270" i="36"/>
  <c r="I260" i="36"/>
  <c r="J265" i="36"/>
  <c r="I268" i="36"/>
  <c r="J260" i="36"/>
  <c r="I263" i="36"/>
  <c r="J268" i="36"/>
  <c r="J263" i="36"/>
  <c r="I266" i="36"/>
  <c r="I261" i="36"/>
  <c r="J266" i="36"/>
  <c r="I269" i="36"/>
  <c r="K269" i="36" s="1"/>
  <c r="J261" i="36"/>
  <c r="I264" i="36"/>
  <c r="J269" i="36"/>
  <c r="K262" i="36" l="1"/>
  <c r="K268" i="36"/>
  <c r="K267" i="36"/>
  <c r="K266" i="36"/>
  <c r="K260" i="36"/>
  <c r="K265" i="36"/>
  <c r="K259" i="36"/>
  <c r="K261" i="36"/>
  <c r="Y33" i="41"/>
  <c r="K263" i="36"/>
  <c r="K270" i="36"/>
  <c r="E259" i="36"/>
  <c r="K264" i="36"/>
  <c r="G259" i="36" l="1"/>
  <c r="C260" i="36" s="1"/>
  <c r="D260" i="36" l="1"/>
  <c r="E260" i="36" l="1"/>
  <c r="G260" i="36" l="1"/>
  <c r="C261" i="36" s="1"/>
  <c r="D261" i="36" l="1"/>
  <c r="E261" i="36" l="1"/>
  <c r="G261" i="36" l="1"/>
  <c r="C262" i="36" s="1"/>
  <c r="D262" i="36" l="1"/>
  <c r="E262" i="36" l="1"/>
  <c r="G262" i="36" l="1"/>
  <c r="C263" i="36" s="1"/>
  <c r="D263" i="36" l="1"/>
  <c r="E263" i="36" l="1"/>
  <c r="G263" i="36" l="1"/>
  <c r="C264" i="36" s="1"/>
  <c r="D264" i="36" l="1"/>
  <c r="E264" i="36" s="1"/>
  <c r="G264" i="36" s="1"/>
  <c r="C265" i="36" s="1"/>
  <c r="D265" i="36" l="1"/>
  <c r="E265" i="36" s="1"/>
  <c r="G265" i="36" s="1"/>
  <c r="C266" i="36" s="1"/>
  <c r="D266" i="36" l="1"/>
  <c r="E266" i="36" s="1"/>
  <c r="G266" i="36" s="1"/>
  <c r="C267" i="36" s="1"/>
  <c r="D267" i="36" l="1"/>
  <c r="E267" i="36" s="1"/>
  <c r="G267" i="36" s="1"/>
  <c r="C268" i="36" s="1"/>
  <c r="D268" i="36" l="1"/>
  <c r="E268" i="36" s="1"/>
  <c r="G268" i="36" s="1"/>
  <c r="C269" i="36" s="1"/>
  <c r="D269" i="36" l="1"/>
  <c r="E269" i="36" s="1"/>
  <c r="G269" i="36" s="1"/>
  <c r="C270" i="36" s="1"/>
  <c r="D270" i="36" l="1"/>
  <c r="E270" i="36" s="1"/>
  <c r="G270" i="36" s="1"/>
  <c r="C271" i="36" l="1"/>
  <c r="H261" i="36"/>
  <c r="L261" i="36" s="1"/>
  <c r="H269" i="36"/>
  <c r="L269" i="36" s="1"/>
  <c r="H262" i="36"/>
  <c r="L262" i="36" s="1"/>
  <c r="H270" i="36"/>
  <c r="L270" i="36" s="1"/>
  <c r="H263" i="36"/>
  <c r="L263" i="36" s="1"/>
  <c r="H264" i="36"/>
  <c r="L264" i="36" s="1"/>
  <c r="H265" i="36"/>
  <c r="L265" i="36" s="1"/>
  <c r="H266" i="36"/>
  <c r="L266" i="36" s="1"/>
  <c r="H259" i="36"/>
  <c r="H267" i="36"/>
  <c r="L267" i="36" s="1"/>
  <c r="H260" i="36"/>
  <c r="L260" i="36" s="1"/>
  <c r="H268" i="36"/>
  <c r="L268" i="36" s="1"/>
  <c r="Y32" i="41" l="1"/>
  <c r="L259" i="36"/>
  <c r="D271" i="36"/>
  <c r="J272" i="36"/>
  <c r="I275" i="36"/>
  <c r="J280" i="36"/>
  <c r="J275" i="36"/>
  <c r="I278" i="36"/>
  <c r="I273" i="36"/>
  <c r="J278" i="36"/>
  <c r="I281" i="36"/>
  <c r="J273" i="36"/>
  <c r="I276" i="36"/>
  <c r="J281" i="36"/>
  <c r="I271" i="36"/>
  <c r="J276" i="36"/>
  <c r="I279" i="36"/>
  <c r="J271" i="36"/>
  <c r="I274" i="36"/>
  <c r="J279" i="36"/>
  <c r="I282" i="36"/>
  <c r="J274" i="36"/>
  <c r="I277" i="36"/>
  <c r="J282" i="36"/>
  <c r="I272" i="36"/>
  <c r="K272" i="36" s="1"/>
  <c r="I280" i="36"/>
  <c r="J277" i="36"/>
  <c r="K278" i="36" l="1"/>
  <c r="K271" i="36"/>
  <c r="K277" i="36"/>
  <c r="K275" i="36"/>
  <c r="K282" i="36"/>
  <c r="K274" i="36"/>
  <c r="K281" i="36"/>
  <c r="K276" i="36"/>
  <c r="K280" i="36"/>
  <c r="E271" i="36"/>
  <c r="K279" i="36"/>
  <c r="K273" i="36"/>
  <c r="Z33" i="41" s="1"/>
  <c r="G271" i="36" l="1"/>
  <c r="C272" i="36" s="1"/>
  <c r="D272" i="36" l="1"/>
  <c r="E272" i="36" l="1"/>
  <c r="G272" i="36" l="1"/>
  <c r="C273" i="36" s="1"/>
  <c r="D273" i="36" l="1"/>
  <c r="E273" i="36" l="1"/>
  <c r="G273" i="36" l="1"/>
  <c r="C274" i="36" s="1"/>
  <c r="D274" i="36" l="1"/>
  <c r="E274" i="36" l="1"/>
  <c r="G274" i="36" l="1"/>
  <c r="C275" i="36" s="1"/>
  <c r="D275" i="36" l="1"/>
  <c r="E275" i="36" l="1"/>
  <c r="G275" i="36" l="1"/>
  <c r="C276" i="36" s="1"/>
  <c r="D276" i="36" l="1"/>
  <c r="E276" i="36" s="1"/>
  <c r="G276" i="36" s="1"/>
  <c r="C277" i="36" s="1"/>
  <c r="D277" i="36" l="1"/>
  <c r="E277" i="36" s="1"/>
  <c r="G277" i="36" s="1"/>
  <c r="C278" i="36" s="1"/>
  <c r="D278" i="36" l="1"/>
  <c r="E278" i="36" s="1"/>
  <c r="G278" i="36" s="1"/>
  <c r="C279" i="36" s="1"/>
  <c r="D279" i="36" l="1"/>
  <c r="E279" i="36" s="1"/>
  <c r="G279" i="36" s="1"/>
  <c r="C280" i="36" s="1"/>
  <c r="D280" i="36" l="1"/>
  <c r="E280" i="36" s="1"/>
  <c r="G280" i="36" s="1"/>
  <c r="C281" i="36" s="1"/>
  <c r="D281" i="36" l="1"/>
  <c r="E281" i="36" s="1"/>
  <c r="G281" i="36" s="1"/>
  <c r="C282" i="36" s="1"/>
  <c r="D282" i="36" l="1"/>
  <c r="E282" i="36" s="1"/>
  <c r="G282" i="36" s="1"/>
  <c r="C283" i="36" l="1"/>
  <c r="H277" i="36"/>
  <c r="L277" i="36" s="1"/>
  <c r="H278" i="36"/>
  <c r="L278" i="36" s="1"/>
  <c r="H271" i="36"/>
  <c r="H279" i="36"/>
  <c r="L279" i="36" s="1"/>
  <c r="H272" i="36"/>
  <c r="L272" i="36" s="1"/>
  <c r="H280" i="36"/>
  <c r="L280" i="36" s="1"/>
  <c r="H273" i="36"/>
  <c r="L273" i="36" s="1"/>
  <c r="H281" i="36"/>
  <c r="L281" i="36" s="1"/>
  <c r="H274" i="36"/>
  <c r="L274" i="36" s="1"/>
  <c r="H282" i="36"/>
  <c r="L282" i="36" s="1"/>
  <c r="H275" i="36"/>
  <c r="L275" i="36" s="1"/>
  <c r="H276" i="36"/>
  <c r="L276" i="36" s="1"/>
  <c r="Z32" i="41" l="1"/>
  <c r="L271" i="36"/>
  <c r="D283" i="36"/>
  <c r="I283" i="36"/>
  <c r="J288" i="36"/>
  <c r="I291" i="36"/>
  <c r="J283" i="36"/>
  <c r="I286" i="36"/>
  <c r="J291" i="36"/>
  <c r="I294" i="36"/>
  <c r="J286" i="36"/>
  <c r="I289" i="36"/>
  <c r="J294" i="36"/>
  <c r="I284" i="36"/>
  <c r="J289" i="36"/>
  <c r="I292" i="36"/>
  <c r="J284" i="36"/>
  <c r="I287" i="36"/>
  <c r="J292" i="36"/>
  <c r="J287" i="36"/>
  <c r="I290" i="36"/>
  <c r="I285" i="36"/>
  <c r="J290" i="36"/>
  <c r="I293" i="36"/>
  <c r="J285" i="36"/>
  <c r="I288" i="36"/>
  <c r="J293" i="36"/>
  <c r="K293" i="36" l="1"/>
  <c r="K292" i="36"/>
  <c r="K286" i="36"/>
  <c r="K284" i="36"/>
  <c r="K285" i="36"/>
  <c r="K290" i="36"/>
  <c r="K291" i="36"/>
  <c r="K289" i="36"/>
  <c r="K283" i="36"/>
  <c r="AA33" i="41" s="1"/>
  <c r="K288" i="36"/>
  <c r="K294" i="36"/>
  <c r="E283" i="36"/>
  <c r="K287" i="36"/>
  <c r="G283" i="36" l="1"/>
  <c r="C284" i="36" s="1"/>
  <c r="D284" i="36" l="1"/>
  <c r="E284" i="36" l="1"/>
  <c r="G284" i="36" l="1"/>
  <c r="C285" i="36" s="1"/>
  <c r="D285" i="36" l="1"/>
  <c r="E285" i="36" l="1"/>
  <c r="G285" i="36" l="1"/>
  <c r="C286" i="36" s="1"/>
  <c r="D286" i="36" l="1"/>
  <c r="E286" i="36" l="1"/>
  <c r="G286" i="36" l="1"/>
  <c r="C287" i="36" s="1"/>
  <c r="D287" i="36" l="1"/>
  <c r="E287" i="36" l="1"/>
  <c r="G287" i="36" l="1"/>
  <c r="C288" i="36" s="1"/>
  <c r="D288" i="36" l="1"/>
  <c r="E288" i="36" s="1"/>
  <c r="G288" i="36" s="1"/>
  <c r="C289" i="36" s="1"/>
  <c r="D289" i="36" l="1"/>
  <c r="E289" i="36" s="1"/>
  <c r="G289" i="36" s="1"/>
  <c r="C290" i="36" s="1"/>
  <c r="D290" i="36" l="1"/>
  <c r="E290" i="36" s="1"/>
  <c r="G290" i="36" s="1"/>
  <c r="C291" i="36" s="1"/>
  <c r="D291" i="36" l="1"/>
  <c r="E291" i="36" s="1"/>
  <c r="G291" i="36" s="1"/>
  <c r="C292" i="36" s="1"/>
  <c r="D292" i="36" l="1"/>
  <c r="E292" i="36" s="1"/>
  <c r="G292" i="36" s="1"/>
  <c r="C293" i="36" s="1"/>
  <c r="D293" i="36" l="1"/>
  <c r="E293" i="36" s="1"/>
  <c r="G293" i="36" s="1"/>
  <c r="C294" i="36" s="1"/>
  <c r="D294" i="36" l="1"/>
  <c r="E294" i="36" s="1"/>
  <c r="G294" i="36" s="1"/>
  <c r="C295" i="36" l="1"/>
  <c r="H285" i="36"/>
  <c r="L285" i="36" s="1"/>
  <c r="H293" i="36"/>
  <c r="L293" i="36" s="1"/>
  <c r="H286" i="36"/>
  <c r="L286" i="36" s="1"/>
  <c r="H294" i="36"/>
  <c r="L294" i="36" s="1"/>
  <c r="H287" i="36"/>
  <c r="L287" i="36" s="1"/>
  <c r="H288" i="36"/>
  <c r="L288" i="36" s="1"/>
  <c r="H289" i="36"/>
  <c r="L289" i="36" s="1"/>
  <c r="H290" i="36"/>
  <c r="L290" i="36" s="1"/>
  <c r="H283" i="36"/>
  <c r="H291" i="36"/>
  <c r="L291" i="36" s="1"/>
  <c r="H292" i="36"/>
  <c r="L292" i="36" s="1"/>
  <c r="H284" i="36"/>
  <c r="L284" i="36" s="1"/>
  <c r="AA32" i="41" l="1"/>
  <c r="L283" i="36"/>
  <c r="D295" i="36"/>
  <c r="J296" i="36"/>
  <c r="I299" i="36"/>
  <c r="J304" i="36"/>
  <c r="J299" i="36"/>
  <c r="I302" i="36"/>
  <c r="K302" i="36" s="1"/>
  <c r="I297" i="36"/>
  <c r="J302" i="36"/>
  <c r="I305" i="36"/>
  <c r="J297" i="36"/>
  <c r="I300" i="36"/>
  <c r="J305" i="36"/>
  <c r="I295" i="36"/>
  <c r="K295" i="36" s="1"/>
  <c r="J300" i="36"/>
  <c r="I303" i="36"/>
  <c r="J295" i="36"/>
  <c r="I298" i="36"/>
  <c r="J303" i="36"/>
  <c r="I306" i="36"/>
  <c r="J298" i="36"/>
  <c r="I301" i="36"/>
  <c r="J306" i="36"/>
  <c r="I304" i="36"/>
  <c r="K304" i="36" s="1"/>
  <c r="J301" i="36"/>
  <c r="I296" i="36"/>
  <c r="K301" i="36" l="1"/>
  <c r="AB33" i="41"/>
  <c r="K300" i="36"/>
  <c r="K299" i="36"/>
  <c r="K298" i="36"/>
  <c r="K296" i="36"/>
  <c r="K305" i="36"/>
  <c r="E295" i="36"/>
  <c r="K306" i="36"/>
  <c r="K303" i="36"/>
  <c r="K297" i="36"/>
  <c r="G295" i="36" l="1"/>
  <c r="C296" i="36" s="1"/>
  <c r="D296" i="36" l="1"/>
  <c r="E296" i="36" l="1"/>
  <c r="G296" i="36" l="1"/>
  <c r="C297" i="36" s="1"/>
  <c r="D297" i="36" l="1"/>
  <c r="E297" i="36" l="1"/>
  <c r="G297" i="36" l="1"/>
  <c r="C298" i="36" s="1"/>
  <c r="D298" i="36" l="1"/>
  <c r="E298" i="36" l="1"/>
  <c r="G298" i="36" l="1"/>
  <c r="C299" i="36" s="1"/>
  <c r="D299" i="36" l="1"/>
  <c r="E299" i="36" l="1"/>
  <c r="G299" i="36" l="1"/>
  <c r="C300" i="36" s="1"/>
  <c r="D300" i="36" l="1"/>
  <c r="E300" i="36" s="1"/>
  <c r="G300" i="36" s="1"/>
  <c r="C301" i="36" s="1"/>
  <c r="D301" i="36" l="1"/>
  <c r="E301" i="36" s="1"/>
  <c r="G301" i="36" s="1"/>
  <c r="C302" i="36" s="1"/>
  <c r="D302" i="36" l="1"/>
  <c r="E302" i="36" s="1"/>
  <c r="G302" i="36" s="1"/>
  <c r="C303" i="36" s="1"/>
  <c r="D303" i="36" l="1"/>
  <c r="E303" i="36" s="1"/>
  <c r="G303" i="36" s="1"/>
  <c r="C304" i="36" s="1"/>
  <c r="D304" i="36" l="1"/>
  <c r="E304" i="36" s="1"/>
  <c r="G304" i="36" s="1"/>
  <c r="C305" i="36" s="1"/>
  <c r="D305" i="36" l="1"/>
  <c r="E305" i="36" s="1"/>
  <c r="G305" i="36" s="1"/>
  <c r="C306" i="36" s="1"/>
  <c r="D306" i="36" l="1"/>
  <c r="E306" i="36" s="1"/>
  <c r="G306" i="36" s="1"/>
  <c r="C307" i="36" l="1"/>
  <c r="H301" i="36"/>
  <c r="L301" i="36" s="1"/>
  <c r="H302" i="36"/>
  <c r="L302" i="36" s="1"/>
  <c r="H295" i="36"/>
  <c r="H303" i="36"/>
  <c r="L303" i="36" s="1"/>
  <c r="H296" i="36"/>
  <c r="L296" i="36" s="1"/>
  <c r="H304" i="36"/>
  <c r="L304" i="36" s="1"/>
  <c r="H297" i="36"/>
  <c r="L297" i="36" s="1"/>
  <c r="H305" i="36"/>
  <c r="L305" i="36" s="1"/>
  <c r="H298" i="36"/>
  <c r="L298" i="36" s="1"/>
  <c r="H306" i="36"/>
  <c r="L306" i="36" s="1"/>
  <c r="H299" i="36"/>
  <c r="L299" i="36" s="1"/>
  <c r="H300" i="36"/>
  <c r="L300" i="36" s="1"/>
  <c r="AB32" i="41" l="1"/>
  <c r="L295" i="36"/>
  <c r="D307" i="36"/>
  <c r="I307" i="36"/>
  <c r="J312" i="36"/>
  <c r="I315" i="36"/>
  <c r="J307" i="36"/>
  <c r="I310" i="36"/>
  <c r="J315" i="36"/>
  <c r="I318" i="36"/>
  <c r="J310" i="36"/>
  <c r="I313" i="36"/>
  <c r="J318" i="36"/>
  <c r="I308" i="36"/>
  <c r="J313" i="36"/>
  <c r="I316" i="36"/>
  <c r="J308" i="36"/>
  <c r="I311" i="36"/>
  <c r="J316" i="36"/>
  <c r="J311" i="36"/>
  <c r="I314" i="36"/>
  <c r="I309" i="36"/>
  <c r="J314" i="36"/>
  <c r="I317" i="36"/>
  <c r="K317" i="36" s="1"/>
  <c r="J309" i="36"/>
  <c r="I312" i="36"/>
  <c r="J317" i="36"/>
  <c r="K316" i="36" l="1"/>
  <c r="K310" i="36"/>
  <c r="K312" i="36"/>
  <c r="K315" i="36"/>
  <c r="K309" i="36"/>
  <c r="K313" i="36"/>
  <c r="K314" i="36"/>
  <c r="K308" i="36"/>
  <c r="K307" i="36"/>
  <c r="AC33" i="41" s="1"/>
  <c r="K318" i="36"/>
  <c r="E307" i="36"/>
  <c r="K311" i="36"/>
  <c r="G307" i="36" l="1"/>
  <c r="C308" i="36" s="1"/>
  <c r="D308" i="36" l="1"/>
  <c r="E308" i="36" l="1"/>
  <c r="G308" i="36" l="1"/>
  <c r="C309" i="36" s="1"/>
  <c r="D309" i="36" l="1"/>
  <c r="E309" i="36" l="1"/>
  <c r="G309" i="36" l="1"/>
  <c r="C310" i="36" s="1"/>
  <c r="D310" i="36" l="1"/>
  <c r="E310" i="36" l="1"/>
  <c r="G310" i="36" l="1"/>
  <c r="C311" i="36" s="1"/>
  <c r="D311" i="36" l="1"/>
  <c r="E311" i="36" l="1"/>
  <c r="G311" i="36" l="1"/>
  <c r="C312" i="36" s="1"/>
  <c r="D312" i="36" l="1"/>
  <c r="E312" i="36" s="1"/>
  <c r="G312" i="36" s="1"/>
  <c r="C313" i="36" s="1"/>
  <c r="D313" i="36" l="1"/>
  <c r="E313" i="36" s="1"/>
  <c r="G313" i="36" s="1"/>
  <c r="C314" i="36" s="1"/>
  <c r="D314" i="36" l="1"/>
  <c r="E314" i="36" s="1"/>
  <c r="G314" i="36" s="1"/>
  <c r="C315" i="36" s="1"/>
  <c r="D315" i="36" l="1"/>
  <c r="E315" i="36" s="1"/>
  <c r="G315" i="36" s="1"/>
  <c r="C316" i="36" s="1"/>
  <c r="D316" i="36" l="1"/>
  <c r="E316" i="36" s="1"/>
  <c r="G316" i="36" s="1"/>
  <c r="C317" i="36" s="1"/>
  <c r="D317" i="36" l="1"/>
  <c r="E317" i="36" s="1"/>
  <c r="G317" i="36" s="1"/>
  <c r="C318" i="36" s="1"/>
  <c r="D318" i="36" l="1"/>
  <c r="E318" i="36" s="1"/>
  <c r="G318" i="36" s="1"/>
  <c r="H309" i="36" l="1"/>
  <c r="L309" i="36" s="1"/>
  <c r="H317" i="36"/>
  <c r="L317" i="36" s="1"/>
  <c r="H310" i="36"/>
  <c r="L310" i="36" s="1"/>
  <c r="H318" i="36"/>
  <c r="L318" i="36" s="1"/>
  <c r="H311" i="36"/>
  <c r="L311" i="36" s="1"/>
  <c r="H312" i="36"/>
  <c r="L312" i="36" s="1"/>
  <c r="H313" i="36"/>
  <c r="L313" i="36" s="1"/>
  <c r="C319" i="36"/>
  <c r="H314" i="36"/>
  <c r="L314" i="36" s="1"/>
  <c r="H307" i="36"/>
  <c r="H315" i="36"/>
  <c r="L315" i="36" s="1"/>
  <c r="H308" i="36"/>
  <c r="L308" i="36" s="1"/>
  <c r="H316" i="36"/>
  <c r="L316" i="36" s="1"/>
  <c r="D319" i="36" l="1"/>
  <c r="J320" i="36"/>
  <c r="I323" i="36"/>
  <c r="J328" i="36"/>
  <c r="J323" i="36"/>
  <c r="I326" i="36"/>
  <c r="I321" i="36"/>
  <c r="K321" i="36" s="1"/>
  <c r="J326" i="36"/>
  <c r="I329" i="36"/>
  <c r="J321" i="36"/>
  <c r="I324" i="36"/>
  <c r="J329" i="36"/>
  <c r="I319" i="36"/>
  <c r="J324" i="36"/>
  <c r="I327" i="36"/>
  <c r="K327" i="36" s="1"/>
  <c r="J319" i="36"/>
  <c r="I322" i="36"/>
  <c r="J327" i="36"/>
  <c r="I330" i="36"/>
  <c r="J322" i="36"/>
  <c r="I325" i="36"/>
  <c r="J330" i="36"/>
  <c r="J325" i="36"/>
  <c r="I328" i="36"/>
  <c r="I320" i="36"/>
  <c r="K320" i="36" s="1"/>
  <c r="AC32" i="41"/>
  <c r="L307" i="36"/>
  <c r="K326" i="36" l="1"/>
  <c r="K319" i="36"/>
  <c r="AD33" i="41"/>
  <c r="K330" i="36"/>
  <c r="K323" i="36"/>
  <c r="K325" i="36"/>
  <c r="K322" i="36"/>
  <c r="K329" i="36"/>
  <c r="K324" i="36"/>
  <c r="K328" i="36"/>
  <c r="E319" i="36"/>
  <c r="G319" i="36" l="1"/>
  <c r="C320" i="36" s="1"/>
  <c r="D320" i="36" l="1"/>
  <c r="E320" i="36" l="1"/>
  <c r="G320" i="36" l="1"/>
  <c r="C321" i="36" s="1"/>
  <c r="D321" i="36" l="1"/>
  <c r="E321" i="36" l="1"/>
  <c r="G321" i="36" l="1"/>
  <c r="C322" i="36" s="1"/>
  <c r="D322" i="36" l="1"/>
  <c r="E322" i="36" l="1"/>
  <c r="G322" i="36" l="1"/>
  <c r="C323" i="36" s="1"/>
  <c r="D323" i="36" l="1"/>
  <c r="E323" i="36" l="1"/>
  <c r="G323" i="36" l="1"/>
  <c r="C324" i="36" s="1"/>
  <c r="D324" i="36" l="1"/>
  <c r="E324" i="36" s="1"/>
  <c r="G324" i="36" s="1"/>
  <c r="C325" i="36" s="1"/>
  <c r="D325" i="36" l="1"/>
  <c r="E325" i="36" s="1"/>
  <c r="G325" i="36" s="1"/>
  <c r="C326" i="36" s="1"/>
  <c r="D326" i="36" l="1"/>
  <c r="E326" i="36" s="1"/>
  <c r="G326" i="36" s="1"/>
  <c r="C327" i="36" s="1"/>
  <c r="D327" i="36" l="1"/>
  <c r="E327" i="36" s="1"/>
  <c r="G327" i="36" s="1"/>
  <c r="C328" i="36" s="1"/>
  <c r="D328" i="36" l="1"/>
  <c r="E328" i="36" s="1"/>
  <c r="G328" i="36" s="1"/>
  <c r="C329" i="36" s="1"/>
  <c r="D329" i="36" l="1"/>
  <c r="E329" i="36" s="1"/>
  <c r="G329" i="36" s="1"/>
  <c r="C330" i="36" s="1"/>
  <c r="D330" i="36" l="1"/>
  <c r="E330" i="36" s="1"/>
  <c r="G330" i="36" s="1"/>
  <c r="C331" i="36" l="1"/>
  <c r="H325" i="36"/>
  <c r="L325" i="36" s="1"/>
  <c r="H326" i="36"/>
  <c r="L326" i="36" s="1"/>
  <c r="H319" i="36"/>
  <c r="H327" i="36"/>
  <c r="L327" i="36" s="1"/>
  <c r="H320" i="36"/>
  <c r="L320" i="36" s="1"/>
  <c r="H328" i="36"/>
  <c r="L328" i="36" s="1"/>
  <c r="H321" i="36"/>
  <c r="L321" i="36" s="1"/>
  <c r="H329" i="36"/>
  <c r="L329" i="36" s="1"/>
  <c r="H322" i="36"/>
  <c r="L322" i="36" s="1"/>
  <c r="H330" i="36"/>
  <c r="L330" i="36" s="1"/>
  <c r="H323" i="36"/>
  <c r="L323" i="36" s="1"/>
  <c r="H324" i="36"/>
  <c r="L324" i="36" s="1"/>
  <c r="AD32" i="41" l="1"/>
  <c r="L319" i="36"/>
  <c r="D331" i="36"/>
  <c r="I331" i="36"/>
  <c r="J336" i="36"/>
  <c r="I339" i="36"/>
  <c r="J331" i="36"/>
  <c r="I334" i="36"/>
  <c r="J339" i="36"/>
  <c r="I342" i="36"/>
  <c r="J334" i="36"/>
  <c r="I337" i="36"/>
  <c r="J342" i="36"/>
  <c r="I332" i="36"/>
  <c r="J337" i="36"/>
  <c r="I340" i="36"/>
  <c r="K340" i="36" s="1"/>
  <c r="J332" i="36"/>
  <c r="I335" i="36"/>
  <c r="J340" i="36"/>
  <c r="J335" i="36"/>
  <c r="I338" i="36"/>
  <c r="I333" i="36"/>
  <c r="J338" i="36"/>
  <c r="I341" i="36"/>
  <c r="K341" i="36" s="1"/>
  <c r="J333" i="36"/>
  <c r="I336" i="36"/>
  <c r="J341" i="36"/>
  <c r="K334" i="36" l="1"/>
  <c r="K339" i="36"/>
  <c r="K338" i="36"/>
  <c r="K332" i="36"/>
  <c r="K337" i="36"/>
  <c r="K331" i="36"/>
  <c r="K333" i="36"/>
  <c r="AE33" i="41"/>
  <c r="K336" i="36"/>
  <c r="K342" i="36"/>
  <c r="E331" i="36"/>
  <c r="K335" i="36"/>
  <c r="G331" i="36" l="1"/>
  <c r="C332" i="36" s="1"/>
  <c r="D332" i="36" l="1"/>
  <c r="E332" i="36" l="1"/>
  <c r="G332" i="36" l="1"/>
  <c r="C333" i="36" s="1"/>
  <c r="D333" i="36" l="1"/>
  <c r="E333" i="36" l="1"/>
  <c r="G333" i="36" l="1"/>
  <c r="C334" i="36" s="1"/>
  <c r="D334" i="36" l="1"/>
  <c r="E334" i="36" l="1"/>
  <c r="G334" i="36" l="1"/>
  <c r="C335" i="36" s="1"/>
  <c r="D335" i="36" l="1"/>
  <c r="E335" i="36" l="1"/>
  <c r="G335" i="36" l="1"/>
  <c r="C336" i="36" s="1"/>
  <c r="D336" i="36" l="1"/>
  <c r="E336" i="36" s="1"/>
  <c r="G336" i="36" s="1"/>
  <c r="C337" i="36" s="1"/>
  <c r="D337" i="36" l="1"/>
  <c r="E337" i="36" s="1"/>
  <c r="G337" i="36" s="1"/>
  <c r="C338" i="36" s="1"/>
  <c r="D338" i="36" l="1"/>
  <c r="E338" i="36" s="1"/>
  <c r="G338" i="36" s="1"/>
  <c r="C339" i="36" s="1"/>
  <c r="D339" i="36" l="1"/>
  <c r="E339" i="36" s="1"/>
  <c r="G339" i="36" s="1"/>
  <c r="C340" i="36" s="1"/>
  <c r="D340" i="36" l="1"/>
  <c r="E340" i="36" s="1"/>
  <c r="G340" i="36" s="1"/>
  <c r="C341" i="36" s="1"/>
  <c r="D341" i="36" l="1"/>
  <c r="E341" i="36" s="1"/>
  <c r="G341" i="36" s="1"/>
  <c r="C342" i="36" s="1"/>
  <c r="D342" i="36" l="1"/>
  <c r="E342" i="36" s="1"/>
  <c r="G342" i="36" s="1"/>
  <c r="C343" i="36" l="1"/>
  <c r="H333" i="36"/>
  <c r="L333" i="36" s="1"/>
  <c r="H341" i="36"/>
  <c r="L341" i="36" s="1"/>
  <c r="H334" i="36"/>
  <c r="L334" i="36" s="1"/>
  <c r="H342" i="36"/>
  <c r="L342" i="36" s="1"/>
  <c r="H335" i="36"/>
  <c r="L335" i="36" s="1"/>
  <c r="H336" i="36"/>
  <c r="L336" i="36" s="1"/>
  <c r="H337" i="36"/>
  <c r="L337" i="36" s="1"/>
  <c r="H338" i="36"/>
  <c r="L338" i="36" s="1"/>
  <c r="H331" i="36"/>
  <c r="H339" i="36"/>
  <c r="L339" i="36" s="1"/>
  <c r="H332" i="36"/>
  <c r="L332" i="36" s="1"/>
  <c r="H340" i="36"/>
  <c r="L340" i="36" s="1"/>
  <c r="AE32" i="41" l="1"/>
  <c r="L331" i="36"/>
  <c r="D343" i="36"/>
  <c r="J344" i="36"/>
  <c r="I347" i="36"/>
  <c r="J352" i="36"/>
  <c r="J347" i="36"/>
  <c r="I350" i="36"/>
  <c r="K350" i="36" s="1"/>
  <c r="I345" i="36"/>
  <c r="K345" i="36" s="1"/>
  <c r="J350" i="36"/>
  <c r="I353" i="36"/>
  <c r="J345" i="36"/>
  <c r="I348" i="36"/>
  <c r="J353" i="36"/>
  <c r="I343" i="36"/>
  <c r="K343" i="36" s="1"/>
  <c r="J348" i="36"/>
  <c r="I351" i="36"/>
  <c r="J343" i="36"/>
  <c r="I346" i="36"/>
  <c r="J351" i="36"/>
  <c r="I354" i="36"/>
  <c r="J346" i="36"/>
  <c r="I349" i="36"/>
  <c r="J354" i="36"/>
  <c r="J349" i="36"/>
  <c r="I352" i="36"/>
  <c r="I344" i="36"/>
  <c r="K351" i="36" l="1"/>
  <c r="K344" i="36"/>
  <c r="K346" i="36"/>
  <c r="K353" i="36"/>
  <c r="K352" i="36"/>
  <c r="AF33" i="41"/>
  <c r="K354" i="36"/>
  <c r="K348" i="36"/>
  <c r="K347" i="36"/>
  <c r="K349" i="36"/>
  <c r="E343" i="36"/>
  <c r="G343" i="36" l="1"/>
  <c r="C344" i="36" s="1"/>
  <c r="D344" i="36" l="1"/>
  <c r="E344" i="36" l="1"/>
  <c r="G344" i="36" l="1"/>
  <c r="C345" i="36" s="1"/>
  <c r="D345" i="36" l="1"/>
  <c r="E345" i="36" l="1"/>
  <c r="G345" i="36" l="1"/>
  <c r="C346" i="36" s="1"/>
  <c r="D346" i="36" l="1"/>
  <c r="E346" i="36" l="1"/>
  <c r="G346" i="36" l="1"/>
  <c r="C347" i="36" s="1"/>
  <c r="D347" i="36" l="1"/>
  <c r="E347" i="36" l="1"/>
  <c r="G347" i="36" l="1"/>
  <c r="C348" i="36" s="1"/>
  <c r="D348" i="36" l="1"/>
  <c r="E348" i="36" s="1"/>
  <c r="G348" i="36" s="1"/>
  <c r="C349" i="36" s="1"/>
  <c r="D349" i="36" l="1"/>
  <c r="E349" i="36" s="1"/>
  <c r="G349" i="36" s="1"/>
  <c r="C350" i="36" s="1"/>
  <c r="D350" i="36" l="1"/>
  <c r="E350" i="36" s="1"/>
  <c r="G350" i="36" s="1"/>
  <c r="C351" i="36" s="1"/>
  <c r="D351" i="36" l="1"/>
  <c r="E351" i="36" s="1"/>
  <c r="G351" i="36" s="1"/>
  <c r="C352" i="36" s="1"/>
  <c r="D352" i="36" l="1"/>
  <c r="E352" i="36" s="1"/>
  <c r="G352" i="36" s="1"/>
  <c r="C353" i="36" s="1"/>
  <c r="D353" i="36" l="1"/>
  <c r="E353" i="36" s="1"/>
  <c r="G353" i="36" s="1"/>
  <c r="C354" i="36" s="1"/>
  <c r="D354" i="36" l="1"/>
  <c r="E354" i="36" s="1"/>
  <c r="G354" i="36" s="1"/>
  <c r="C355" i="36" l="1"/>
  <c r="H349" i="36"/>
  <c r="L349" i="36" s="1"/>
  <c r="H350" i="36"/>
  <c r="L350" i="36" s="1"/>
  <c r="H343" i="36"/>
  <c r="H351" i="36"/>
  <c r="L351" i="36" s="1"/>
  <c r="H344" i="36"/>
  <c r="L344" i="36" s="1"/>
  <c r="H352" i="36"/>
  <c r="L352" i="36" s="1"/>
  <c r="H345" i="36"/>
  <c r="L345" i="36" s="1"/>
  <c r="H353" i="36"/>
  <c r="L353" i="36" s="1"/>
  <c r="H346" i="36"/>
  <c r="L346" i="36" s="1"/>
  <c r="H354" i="36"/>
  <c r="L354" i="36" s="1"/>
  <c r="H347" i="36"/>
  <c r="L347" i="36" s="1"/>
  <c r="H348" i="36"/>
  <c r="L348" i="36" s="1"/>
  <c r="AF32" i="41" l="1"/>
  <c r="L343" i="36"/>
  <c r="D355" i="36"/>
  <c r="I355" i="36"/>
  <c r="J360" i="36"/>
  <c r="I363" i="36"/>
  <c r="J355" i="36"/>
  <c r="I358" i="36"/>
  <c r="J363" i="36"/>
  <c r="I366" i="36"/>
  <c r="J358" i="36"/>
  <c r="I361" i="36"/>
  <c r="J366" i="36"/>
  <c r="I356" i="36"/>
  <c r="J361" i="36"/>
  <c r="I364" i="36"/>
  <c r="J356" i="36"/>
  <c r="I359" i="36"/>
  <c r="J364" i="36"/>
  <c r="J359" i="36"/>
  <c r="I362" i="36"/>
  <c r="I357" i="36"/>
  <c r="J362" i="36"/>
  <c r="I365" i="36"/>
  <c r="J365" i="36"/>
  <c r="J357" i="36"/>
  <c r="I360" i="36"/>
  <c r="K358" i="36" l="1"/>
  <c r="K364" i="36"/>
  <c r="K357" i="36"/>
  <c r="K365" i="36"/>
  <c r="K363" i="36"/>
  <c r="K360" i="36"/>
  <c r="K356" i="36"/>
  <c r="K362" i="36"/>
  <c r="K361" i="36"/>
  <c r="K355" i="36"/>
  <c r="AG33" i="41" s="1"/>
  <c r="K366" i="36"/>
  <c r="E355" i="36"/>
  <c r="K359" i="36"/>
  <c r="G355" i="36" l="1"/>
  <c r="C356" i="36" s="1"/>
  <c r="D356" i="36" l="1"/>
  <c r="E356" i="36" l="1"/>
  <c r="G356" i="36" l="1"/>
  <c r="C357" i="36" s="1"/>
  <c r="D357" i="36" l="1"/>
  <c r="E357" i="36" l="1"/>
  <c r="G357" i="36" l="1"/>
  <c r="C358" i="36" s="1"/>
  <c r="D358" i="36" l="1"/>
  <c r="E358" i="36" l="1"/>
  <c r="G358" i="36" l="1"/>
  <c r="C359" i="36" s="1"/>
  <c r="D359" i="36" l="1"/>
  <c r="E359" i="36" l="1"/>
  <c r="G359" i="36" l="1"/>
  <c r="C360" i="36" s="1"/>
  <c r="D360" i="36" l="1"/>
  <c r="E360" i="36" s="1"/>
  <c r="G360" i="36" s="1"/>
  <c r="C361" i="36" s="1"/>
  <c r="D361" i="36" l="1"/>
  <c r="E361" i="36" s="1"/>
  <c r="G361" i="36" s="1"/>
  <c r="C362" i="36" s="1"/>
  <c r="D362" i="36" l="1"/>
  <c r="E362" i="36" s="1"/>
  <c r="G362" i="36" s="1"/>
  <c r="C363" i="36" s="1"/>
  <c r="D363" i="36" l="1"/>
  <c r="E363" i="36" s="1"/>
  <c r="G363" i="36" s="1"/>
  <c r="C364" i="36" s="1"/>
  <c r="D364" i="36" l="1"/>
  <c r="E364" i="36" s="1"/>
  <c r="G364" i="36" s="1"/>
  <c r="C365" i="36" s="1"/>
  <c r="D365" i="36" l="1"/>
  <c r="E365" i="36" s="1"/>
  <c r="G365" i="36" s="1"/>
  <c r="C366" i="36" s="1"/>
  <c r="D366" i="36" l="1"/>
  <c r="E366" i="36" s="1"/>
  <c r="G366" i="36" s="1"/>
  <c r="C367" i="36" l="1"/>
  <c r="H357" i="36"/>
  <c r="L357" i="36" s="1"/>
  <c r="H365" i="36"/>
  <c r="L365" i="36" s="1"/>
  <c r="H358" i="36"/>
  <c r="L358" i="36" s="1"/>
  <c r="H366" i="36"/>
  <c r="L366" i="36" s="1"/>
  <c r="H359" i="36"/>
  <c r="L359" i="36" s="1"/>
  <c r="H360" i="36"/>
  <c r="L360" i="36" s="1"/>
  <c r="H361" i="36"/>
  <c r="L361" i="36" s="1"/>
  <c r="H362" i="36"/>
  <c r="L362" i="36" s="1"/>
  <c r="H355" i="36"/>
  <c r="H363" i="36"/>
  <c r="L363" i="36" s="1"/>
  <c r="H356" i="36"/>
  <c r="L356" i="36" s="1"/>
  <c r="H364" i="36"/>
  <c r="L364" i="36" s="1"/>
  <c r="AG32" i="41" l="1"/>
  <c r="L355" i="36"/>
  <c r="D367" i="36"/>
  <c r="E367" i="36" s="1"/>
  <c r="G367" i="36" s="1"/>
  <c r="C368" i="36" s="1"/>
  <c r="J368" i="36"/>
  <c r="I371" i="36"/>
  <c r="J376" i="36"/>
  <c r="J371" i="36"/>
  <c r="I374" i="36"/>
  <c r="I369" i="36"/>
  <c r="J374" i="36"/>
  <c r="I377" i="36"/>
  <c r="J369" i="36"/>
  <c r="I372" i="36"/>
  <c r="J377" i="36"/>
  <c r="I367" i="36"/>
  <c r="J372" i="36"/>
  <c r="I375" i="36"/>
  <c r="J367" i="36"/>
  <c r="I370" i="36"/>
  <c r="J375" i="36"/>
  <c r="I378" i="36"/>
  <c r="J370" i="36"/>
  <c r="I373" i="36"/>
  <c r="J378" i="36"/>
  <c r="I368" i="36"/>
  <c r="K368" i="36" s="1"/>
  <c r="J373" i="36"/>
  <c r="I376" i="36"/>
  <c r="K374" i="36" l="1"/>
  <c r="K367" i="36"/>
  <c r="K373" i="36"/>
  <c r="K371" i="36"/>
  <c r="AH33" i="41"/>
  <c r="K372" i="36"/>
  <c r="K377" i="36"/>
  <c r="D368" i="36"/>
  <c r="E368" i="36" s="1"/>
  <c r="G368" i="36" s="1"/>
  <c r="C369" i="36" s="1"/>
  <c r="K376" i="36"/>
  <c r="K370" i="36"/>
  <c r="K378" i="36"/>
  <c r="K375" i="36"/>
  <c r="K369" i="36"/>
  <c r="D369" i="36" l="1"/>
  <c r="E369" i="36" s="1"/>
  <c r="G369" i="36" s="1"/>
  <c r="C370" i="36" s="1"/>
  <c r="D370" i="36" l="1"/>
  <c r="E370" i="36" s="1"/>
  <c r="G370" i="36" s="1"/>
  <c r="C371" i="36" s="1"/>
  <c r="D371" i="36" l="1"/>
  <c r="E371" i="36" s="1"/>
  <c r="G371" i="36" s="1"/>
  <c r="C372" i="36" s="1"/>
  <c r="D372" i="36" l="1"/>
  <c r="E372" i="36" s="1"/>
  <c r="G372" i="36" s="1"/>
  <c r="C373" i="36" s="1"/>
  <c r="D373" i="36" l="1"/>
  <c r="E373" i="36" s="1"/>
  <c r="G373" i="36" s="1"/>
  <c r="C374" i="36" s="1"/>
  <c r="D374" i="36" l="1"/>
  <c r="E374" i="36" s="1"/>
  <c r="G374" i="36" s="1"/>
  <c r="C375" i="36" s="1"/>
  <c r="D375" i="36" l="1"/>
  <c r="E375" i="36" s="1"/>
  <c r="G375" i="36" s="1"/>
  <c r="C376" i="36" s="1"/>
  <c r="D376" i="36" l="1"/>
  <c r="E376" i="36" s="1"/>
  <c r="G376" i="36" s="1"/>
  <c r="C377" i="36" s="1"/>
  <c r="D377" i="36" l="1"/>
  <c r="E377" i="36" s="1"/>
  <c r="G377" i="36" s="1"/>
  <c r="C378" i="36" s="1"/>
  <c r="D378" i="36" l="1"/>
  <c r="E378" i="36" s="1"/>
  <c r="G378" i="36" s="1"/>
  <c r="C379" i="36" l="1"/>
  <c r="H373" i="36"/>
  <c r="L373" i="36" s="1"/>
  <c r="H374" i="36"/>
  <c r="L374" i="36" s="1"/>
  <c r="H367" i="36"/>
  <c r="H375" i="36"/>
  <c r="L375" i="36" s="1"/>
  <c r="H368" i="36"/>
  <c r="L368" i="36" s="1"/>
  <c r="H376" i="36"/>
  <c r="L376" i="36" s="1"/>
  <c r="H369" i="36"/>
  <c r="L369" i="36" s="1"/>
  <c r="H377" i="36"/>
  <c r="L377" i="36" s="1"/>
  <c r="H370" i="36"/>
  <c r="L370" i="36" s="1"/>
  <c r="H378" i="36"/>
  <c r="L378" i="36" s="1"/>
  <c r="H371" i="36"/>
  <c r="L371" i="36" s="1"/>
  <c r="H372" i="36"/>
  <c r="L372" i="36" s="1"/>
  <c r="AH32" i="41" l="1"/>
  <c r="L367" i="36"/>
  <c r="D379" i="36"/>
  <c r="E379" i="36" s="1"/>
  <c r="G379" i="36" s="1"/>
  <c r="C380" i="36" s="1"/>
  <c r="I379" i="36"/>
  <c r="J384" i="36"/>
  <c r="I387" i="36"/>
  <c r="J379" i="36"/>
  <c r="I382" i="36"/>
  <c r="J387" i="36"/>
  <c r="I390" i="36"/>
  <c r="J382" i="36"/>
  <c r="I385" i="36"/>
  <c r="J390" i="36"/>
  <c r="I380" i="36"/>
  <c r="J385" i="36"/>
  <c r="I388" i="36"/>
  <c r="J380" i="36"/>
  <c r="I383" i="36"/>
  <c r="J388" i="36"/>
  <c r="J383" i="36"/>
  <c r="I386" i="36"/>
  <c r="I381" i="36"/>
  <c r="J386" i="36"/>
  <c r="I389" i="36"/>
  <c r="J389" i="36"/>
  <c r="J381" i="36"/>
  <c r="I384" i="36"/>
  <c r="K388" i="36" l="1"/>
  <c r="K382" i="36"/>
  <c r="K383" i="36"/>
  <c r="K389" i="36"/>
  <c r="K390" i="36"/>
  <c r="D380" i="36"/>
  <c r="E380" i="36" s="1"/>
  <c r="G380" i="36" s="1"/>
  <c r="C381" i="36" s="1"/>
  <c r="K381" i="36"/>
  <c r="K380" i="36"/>
  <c r="K387" i="36"/>
  <c r="K386" i="36"/>
  <c r="K379" i="36"/>
  <c r="AI33" i="41" s="1"/>
  <c r="K385" i="36"/>
  <c r="K384" i="36"/>
  <c r="D381" i="36" l="1"/>
  <c r="E381" i="36" s="1"/>
  <c r="G381" i="36" s="1"/>
  <c r="C382" i="36" s="1"/>
  <c r="D382" i="36" l="1"/>
  <c r="E382" i="36" s="1"/>
  <c r="G382" i="36" s="1"/>
  <c r="C383" i="36" s="1"/>
  <c r="D383" i="36" l="1"/>
  <c r="E383" i="36" s="1"/>
  <c r="G383" i="36" s="1"/>
  <c r="C384" i="36" s="1"/>
  <c r="D384" i="36" l="1"/>
  <c r="E384" i="36" s="1"/>
  <c r="G384" i="36" s="1"/>
  <c r="C385" i="36" s="1"/>
  <c r="D385" i="36" l="1"/>
  <c r="E385" i="36" s="1"/>
  <c r="G385" i="36" s="1"/>
  <c r="C386" i="36" s="1"/>
  <c r="D386" i="36" l="1"/>
  <c r="E386" i="36" s="1"/>
  <c r="G386" i="36" s="1"/>
  <c r="C387" i="36" s="1"/>
  <c r="D387" i="36" l="1"/>
  <c r="E387" i="36" s="1"/>
  <c r="G387" i="36" s="1"/>
  <c r="C388" i="36" s="1"/>
  <c r="D388" i="36" l="1"/>
  <c r="E388" i="36" s="1"/>
  <c r="G388" i="36" s="1"/>
  <c r="C389" i="36" s="1"/>
  <c r="D389" i="36" l="1"/>
  <c r="E389" i="36" s="1"/>
  <c r="G389" i="36" s="1"/>
  <c r="C390" i="36" s="1"/>
  <c r="D390" i="36" l="1"/>
  <c r="E390" i="36" s="1"/>
  <c r="G390" i="36" s="1"/>
  <c r="C391" i="36" l="1"/>
  <c r="H381" i="36"/>
  <c r="L381" i="36" s="1"/>
  <c r="H389" i="36"/>
  <c r="L389" i="36" s="1"/>
  <c r="H382" i="36"/>
  <c r="L382" i="36" s="1"/>
  <c r="H390" i="36"/>
  <c r="L390" i="36" s="1"/>
  <c r="H383" i="36"/>
  <c r="L383" i="36" s="1"/>
  <c r="H384" i="36"/>
  <c r="L384" i="36" s="1"/>
  <c r="H385" i="36"/>
  <c r="L385" i="36" s="1"/>
  <c r="H386" i="36"/>
  <c r="L386" i="36" s="1"/>
  <c r="H379" i="36"/>
  <c r="H387" i="36"/>
  <c r="L387" i="36" s="1"/>
  <c r="H380" i="36"/>
  <c r="L380" i="36" s="1"/>
  <c r="H388" i="36"/>
  <c r="L388" i="36" s="1"/>
  <c r="AI32" i="41" l="1"/>
  <c r="L379" i="36"/>
  <c r="D391" i="36"/>
  <c r="E391" i="36" s="1"/>
  <c r="G391" i="36" s="1"/>
  <c r="C392" i="36" s="1"/>
  <c r="J392" i="36"/>
  <c r="I395" i="36"/>
  <c r="J400" i="36"/>
  <c r="J395" i="36"/>
  <c r="I398" i="36"/>
  <c r="I393" i="36"/>
  <c r="J398" i="36"/>
  <c r="I401" i="36"/>
  <c r="J393" i="36"/>
  <c r="I396" i="36"/>
  <c r="J401" i="36"/>
  <c r="I391" i="36"/>
  <c r="J396" i="36"/>
  <c r="I399" i="36"/>
  <c r="J391" i="36"/>
  <c r="I394" i="36"/>
  <c r="J399" i="36"/>
  <c r="I402" i="36"/>
  <c r="J394" i="36"/>
  <c r="I397" i="36"/>
  <c r="K397" i="36" s="1"/>
  <c r="J402" i="36"/>
  <c r="I392" i="36"/>
  <c r="K392" i="36" s="1"/>
  <c r="J397" i="36"/>
  <c r="I400" i="36"/>
  <c r="K398" i="36" l="1"/>
  <c r="K391" i="36"/>
  <c r="K395" i="36"/>
  <c r="D392" i="36"/>
  <c r="E392" i="36" s="1"/>
  <c r="G392" i="36" s="1"/>
  <c r="C393" i="36" s="1"/>
  <c r="K396" i="36"/>
  <c r="K400" i="36"/>
  <c r="K401" i="36"/>
  <c r="K402" i="36"/>
  <c r="K394" i="36"/>
  <c r="K399" i="36"/>
  <c r="K393" i="36"/>
  <c r="D393" i="36" l="1"/>
  <c r="E393" i="36" s="1"/>
  <c r="G393" i="36" s="1"/>
  <c r="C394" i="36" s="1"/>
  <c r="D394" i="36" l="1"/>
  <c r="E394" i="36" s="1"/>
  <c r="G394" i="36" s="1"/>
  <c r="C395" i="36" s="1"/>
  <c r="D395" i="36" l="1"/>
  <c r="E395" i="36" s="1"/>
  <c r="G395" i="36" s="1"/>
  <c r="C396" i="36" s="1"/>
  <c r="D396" i="36" l="1"/>
  <c r="E396" i="36" s="1"/>
  <c r="G396" i="36" s="1"/>
  <c r="C397" i="36" s="1"/>
  <c r="D397" i="36" l="1"/>
  <c r="E397" i="36" s="1"/>
  <c r="G397" i="36" s="1"/>
  <c r="C398" i="36" s="1"/>
  <c r="D398" i="36" l="1"/>
  <c r="E398" i="36" s="1"/>
  <c r="G398" i="36" s="1"/>
  <c r="C399" i="36" s="1"/>
  <c r="D399" i="36" l="1"/>
  <c r="E399" i="36" s="1"/>
  <c r="G399" i="36" s="1"/>
  <c r="C400" i="36" s="1"/>
  <c r="D400" i="36" l="1"/>
  <c r="E400" i="36" s="1"/>
  <c r="G400" i="36" s="1"/>
  <c r="C401" i="36" s="1"/>
  <c r="D401" i="36" l="1"/>
  <c r="E401" i="36" s="1"/>
  <c r="G401" i="36" s="1"/>
  <c r="C402" i="36" s="1"/>
  <c r="D402" i="36" l="1"/>
  <c r="E402" i="36" s="1"/>
  <c r="G402" i="36" s="1"/>
  <c r="C403" i="36" l="1"/>
  <c r="H397" i="36"/>
  <c r="L397" i="36" s="1"/>
  <c r="H398" i="36"/>
  <c r="L398" i="36" s="1"/>
  <c r="H391" i="36"/>
  <c r="L391" i="36" s="1"/>
  <c r="H399" i="36"/>
  <c r="L399" i="36" s="1"/>
  <c r="H392" i="36"/>
  <c r="L392" i="36" s="1"/>
  <c r="H400" i="36"/>
  <c r="L400" i="36" s="1"/>
  <c r="H393" i="36"/>
  <c r="L393" i="36" s="1"/>
  <c r="H401" i="36"/>
  <c r="L401" i="36" s="1"/>
  <c r="H394" i="36"/>
  <c r="L394" i="36" s="1"/>
  <c r="H402" i="36"/>
  <c r="L402" i="36" s="1"/>
  <c r="H395" i="36"/>
  <c r="L395" i="36" s="1"/>
  <c r="H396" i="36"/>
  <c r="L396" i="36" s="1"/>
  <c r="D403" i="36" l="1"/>
  <c r="E403" i="36" s="1"/>
  <c r="G403" i="36" s="1"/>
  <c r="C404" i="36" s="1"/>
  <c r="I403" i="36"/>
  <c r="J408" i="36"/>
  <c r="I411" i="36"/>
  <c r="J403" i="36"/>
  <c r="I406" i="36"/>
  <c r="J411" i="36"/>
  <c r="I414" i="36"/>
  <c r="J406" i="36"/>
  <c r="I409" i="36"/>
  <c r="J414" i="36"/>
  <c r="I404" i="36"/>
  <c r="J409" i="36"/>
  <c r="I412" i="36"/>
  <c r="K412" i="36" s="1"/>
  <c r="J404" i="36"/>
  <c r="I407" i="36"/>
  <c r="J412" i="36"/>
  <c r="J407" i="36"/>
  <c r="I410" i="36"/>
  <c r="I405" i="36"/>
  <c r="J410" i="36"/>
  <c r="I413" i="36"/>
  <c r="J413" i="36"/>
  <c r="I408" i="36"/>
  <c r="K408" i="36" s="1"/>
  <c r="J405" i="36"/>
  <c r="K405" i="36" l="1"/>
  <c r="K406" i="36"/>
  <c r="K411" i="36"/>
  <c r="K410" i="36"/>
  <c r="K413" i="36"/>
  <c r="K409" i="36"/>
  <c r="K403" i="36"/>
  <c r="D404" i="36"/>
  <c r="E404" i="36" s="1"/>
  <c r="G404" i="36" s="1"/>
  <c r="C405" i="36" s="1"/>
  <c r="K404" i="36"/>
  <c r="K407" i="36"/>
  <c r="K414" i="36"/>
  <c r="D405" i="36" l="1"/>
  <c r="E405" i="36" s="1"/>
  <c r="G405" i="36" s="1"/>
  <c r="C406" i="36" s="1"/>
  <c r="D406" i="36" l="1"/>
  <c r="E406" i="36" s="1"/>
  <c r="G406" i="36" s="1"/>
  <c r="C407" i="36" s="1"/>
  <c r="D407" i="36" l="1"/>
  <c r="E407" i="36" s="1"/>
  <c r="G407" i="36" s="1"/>
  <c r="C408" i="36" s="1"/>
  <c r="D408" i="36" l="1"/>
  <c r="E408" i="36" s="1"/>
  <c r="G408" i="36" s="1"/>
  <c r="C409" i="36" s="1"/>
  <c r="D409" i="36" l="1"/>
  <c r="E409" i="36" s="1"/>
  <c r="G409" i="36" s="1"/>
  <c r="C410" i="36" s="1"/>
  <c r="D410" i="36" l="1"/>
  <c r="E410" i="36" s="1"/>
  <c r="G410" i="36" s="1"/>
  <c r="C411" i="36" s="1"/>
  <c r="D411" i="36" l="1"/>
  <c r="E411" i="36" s="1"/>
  <c r="G411" i="36" s="1"/>
  <c r="C412" i="36" s="1"/>
  <c r="D412" i="36" l="1"/>
  <c r="E412" i="36" s="1"/>
  <c r="G412" i="36" s="1"/>
  <c r="C413" i="36" s="1"/>
  <c r="D413" i="36" l="1"/>
  <c r="E413" i="36" s="1"/>
  <c r="G413" i="36" s="1"/>
  <c r="C414" i="36" s="1"/>
  <c r="D414" i="36" l="1"/>
  <c r="E414" i="36" s="1"/>
  <c r="G414" i="36" s="1"/>
  <c r="C415" i="36" l="1"/>
  <c r="H405" i="36"/>
  <c r="L405" i="36" s="1"/>
  <c r="H413" i="36"/>
  <c r="L413" i="36" s="1"/>
  <c r="H406" i="36"/>
  <c r="L406" i="36" s="1"/>
  <c r="H414" i="36"/>
  <c r="L414" i="36" s="1"/>
  <c r="H407" i="36"/>
  <c r="L407" i="36" s="1"/>
  <c r="H408" i="36"/>
  <c r="L408" i="36" s="1"/>
  <c r="H409" i="36"/>
  <c r="L409" i="36" s="1"/>
  <c r="H410" i="36"/>
  <c r="L410" i="36" s="1"/>
  <c r="H403" i="36"/>
  <c r="L403" i="36" s="1"/>
  <c r="H411" i="36"/>
  <c r="L411" i="36" s="1"/>
  <c r="H404" i="36"/>
  <c r="L404" i="36" s="1"/>
  <c r="H412" i="36"/>
  <c r="L412" i="36" s="1"/>
  <c r="D415" i="36" l="1"/>
  <c r="E415" i="36" s="1"/>
  <c r="G415" i="36" s="1"/>
  <c r="C416" i="36" s="1"/>
  <c r="J416" i="36"/>
  <c r="I419" i="36"/>
  <c r="J424" i="36"/>
  <c r="I427" i="36"/>
  <c r="J432" i="36"/>
  <c r="I435" i="36"/>
  <c r="J440" i="36"/>
  <c r="I443" i="36"/>
  <c r="J448" i="36"/>
  <c r="I451" i="36"/>
  <c r="J456" i="36"/>
  <c r="I459" i="36"/>
  <c r="J464" i="36"/>
  <c r="I467" i="36"/>
  <c r="J472" i="36"/>
  <c r="I475" i="36"/>
  <c r="J480" i="36"/>
  <c r="I483" i="36"/>
  <c r="J419" i="36"/>
  <c r="I422" i="36"/>
  <c r="J427" i="36"/>
  <c r="I430" i="36"/>
  <c r="J435" i="36"/>
  <c r="I438" i="36"/>
  <c r="J443" i="36"/>
  <c r="I446" i="36"/>
  <c r="J451" i="36"/>
  <c r="I454" i="36"/>
  <c r="J459" i="36"/>
  <c r="I462" i="36"/>
  <c r="J467" i="36"/>
  <c r="I470" i="36"/>
  <c r="J475" i="36"/>
  <c r="I478" i="36"/>
  <c r="J483" i="36"/>
  <c r="I486" i="36"/>
  <c r="I417" i="36"/>
  <c r="J422" i="36"/>
  <c r="I425" i="36"/>
  <c r="J430" i="36"/>
  <c r="I433" i="36"/>
  <c r="J438" i="36"/>
  <c r="I441" i="36"/>
  <c r="J446" i="36"/>
  <c r="I449" i="36"/>
  <c r="J454" i="36"/>
  <c r="I457" i="36"/>
  <c r="J462" i="36"/>
  <c r="I465" i="36"/>
  <c r="J470" i="36"/>
  <c r="I473" i="36"/>
  <c r="J478" i="36"/>
  <c r="I481" i="36"/>
  <c r="J486" i="36"/>
  <c r="J417" i="36"/>
  <c r="I420" i="36"/>
  <c r="J425" i="36"/>
  <c r="I428" i="36"/>
  <c r="J433" i="36"/>
  <c r="I436" i="36"/>
  <c r="J441" i="36"/>
  <c r="I444" i="36"/>
  <c r="J449" i="36"/>
  <c r="I452" i="36"/>
  <c r="J457" i="36"/>
  <c r="I460" i="36"/>
  <c r="J465" i="36"/>
  <c r="I468" i="36"/>
  <c r="J473" i="36"/>
  <c r="I476" i="36"/>
  <c r="J481" i="36"/>
  <c r="I484" i="36"/>
  <c r="I415" i="36"/>
  <c r="J420" i="36"/>
  <c r="I423" i="36"/>
  <c r="J428" i="36"/>
  <c r="I431" i="36"/>
  <c r="J436" i="36"/>
  <c r="I439" i="36"/>
  <c r="J444" i="36"/>
  <c r="I447" i="36"/>
  <c r="J452" i="36"/>
  <c r="I455" i="36"/>
  <c r="J460" i="36"/>
  <c r="I463" i="36"/>
  <c r="J468" i="36"/>
  <c r="I471" i="36"/>
  <c r="J476" i="36"/>
  <c r="I479" i="36"/>
  <c r="J484" i="36"/>
  <c r="J415" i="36"/>
  <c r="I418" i="36"/>
  <c r="J423" i="36"/>
  <c r="I426" i="36"/>
  <c r="J431" i="36"/>
  <c r="I434" i="36"/>
  <c r="J439" i="36"/>
  <c r="I442" i="36"/>
  <c r="J447" i="36"/>
  <c r="I450" i="36"/>
  <c r="J455" i="36"/>
  <c r="I458" i="36"/>
  <c r="J463" i="36"/>
  <c r="I466" i="36"/>
  <c r="J471" i="36"/>
  <c r="I474" i="36"/>
  <c r="J479" i="36"/>
  <c r="I482" i="36"/>
  <c r="J418" i="36"/>
  <c r="I421" i="36"/>
  <c r="J426" i="36"/>
  <c r="I429" i="36"/>
  <c r="J434" i="36"/>
  <c r="I437" i="36"/>
  <c r="J442" i="36"/>
  <c r="I445" i="36"/>
  <c r="J450" i="36"/>
  <c r="I453" i="36"/>
  <c r="J458" i="36"/>
  <c r="I461" i="36"/>
  <c r="J466" i="36"/>
  <c r="I469" i="36"/>
  <c r="J474" i="36"/>
  <c r="I477" i="36"/>
  <c r="J482" i="36"/>
  <c r="I485" i="36"/>
  <c r="I432" i="36"/>
  <c r="J453" i="36"/>
  <c r="I472" i="36"/>
  <c r="I456" i="36"/>
  <c r="K456" i="36" s="1"/>
  <c r="J477" i="36"/>
  <c r="I416" i="36"/>
  <c r="K416" i="36" s="1"/>
  <c r="J437" i="36"/>
  <c r="I480" i="36"/>
  <c r="K480" i="36" s="1"/>
  <c r="I440" i="36"/>
  <c r="K440" i="36" s="1"/>
  <c r="J461" i="36"/>
  <c r="J421" i="36"/>
  <c r="I464" i="36"/>
  <c r="J485" i="36"/>
  <c r="I424" i="36"/>
  <c r="K424" i="36" s="1"/>
  <c r="J445" i="36"/>
  <c r="J429" i="36"/>
  <c r="I448" i="36"/>
  <c r="K448" i="36" s="1"/>
  <c r="J469" i="36"/>
  <c r="K432" i="36" l="1"/>
  <c r="K464" i="36"/>
  <c r="K467" i="36"/>
  <c r="K435" i="36"/>
  <c r="K472" i="36"/>
  <c r="K458" i="36"/>
  <c r="K463" i="36"/>
  <c r="K431" i="36"/>
  <c r="K481" i="36"/>
  <c r="K477" i="36"/>
  <c r="K474" i="36"/>
  <c r="K485" i="36"/>
  <c r="K426" i="36"/>
  <c r="K449" i="36"/>
  <c r="K417" i="36"/>
  <c r="K445" i="36"/>
  <c r="K482" i="36"/>
  <c r="K450" i="36"/>
  <c r="K418" i="36"/>
  <c r="K468" i="36"/>
  <c r="K436" i="36"/>
  <c r="K486" i="36"/>
  <c r="K454" i="36"/>
  <c r="K442" i="36"/>
  <c r="D416" i="36"/>
  <c r="E416" i="36" s="1"/>
  <c r="G416" i="36" s="1"/>
  <c r="C417" i="36" s="1"/>
  <c r="K453" i="36"/>
  <c r="K421" i="36"/>
  <c r="K476" i="36"/>
  <c r="K444" i="36"/>
  <c r="K462" i="36"/>
  <c r="K430" i="36"/>
  <c r="K422" i="36"/>
  <c r="K459" i="36"/>
  <c r="K427" i="36"/>
  <c r="K455" i="36"/>
  <c r="K423" i="36"/>
  <c r="K473" i="36"/>
  <c r="K441" i="36"/>
  <c r="K469" i="36"/>
  <c r="K437" i="36"/>
  <c r="K460" i="36"/>
  <c r="K428" i="36"/>
  <c r="K478" i="36"/>
  <c r="K446" i="36"/>
  <c r="K483" i="36"/>
  <c r="K451" i="36"/>
  <c r="K419" i="36"/>
  <c r="K479" i="36"/>
  <c r="K447" i="36"/>
  <c r="K415" i="36"/>
  <c r="K465" i="36"/>
  <c r="K433" i="36"/>
  <c r="K461" i="36"/>
  <c r="K429" i="36"/>
  <c r="K466" i="36"/>
  <c r="K434" i="36"/>
  <c r="K484" i="36"/>
  <c r="K452" i="36"/>
  <c r="K420" i="36"/>
  <c r="K470" i="36"/>
  <c r="K438" i="36"/>
  <c r="K475" i="36"/>
  <c r="K443" i="36"/>
  <c r="K471" i="36"/>
  <c r="K439" i="36"/>
  <c r="K457" i="36"/>
  <c r="K425" i="36"/>
  <c r="D417" i="36" l="1"/>
  <c r="E417" i="36" s="1"/>
  <c r="G417" i="36" s="1"/>
  <c r="C418" i="36" s="1"/>
  <c r="D418" i="36" l="1"/>
  <c r="E418" i="36" s="1"/>
  <c r="G418" i="36" s="1"/>
  <c r="C419" i="36" s="1"/>
  <c r="D419" i="36" l="1"/>
  <c r="E419" i="36" s="1"/>
  <c r="G419" i="36" s="1"/>
  <c r="C420" i="36" s="1"/>
  <c r="D420" i="36" l="1"/>
  <c r="E420" i="36" s="1"/>
  <c r="G420" i="36" s="1"/>
  <c r="C421" i="36" s="1"/>
  <c r="D421" i="36" l="1"/>
  <c r="E421" i="36" s="1"/>
  <c r="G421" i="36" s="1"/>
  <c r="C422" i="36" s="1"/>
  <c r="D422" i="36" l="1"/>
  <c r="E422" i="36" s="1"/>
  <c r="G422" i="36" s="1"/>
  <c r="C423" i="36" s="1"/>
  <c r="D423" i="36" l="1"/>
  <c r="E423" i="36" s="1"/>
  <c r="G423" i="36" s="1"/>
  <c r="C424" i="36" s="1"/>
  <c r="D424" i="36" l="1"/>
  <c r="E424" i="36" s="1"/>
  <c r="G424" i="36" s="1"/>
  <c r="C425" i="36" s="1"/>
  <c r="D425" i="36" l="1"/>
  <c r="E425" i="36" s="1"/>
  <c r="G425" i="36" s="1"/>
  <c r="C426" i="36" s="1"/>
  <c r="D426" i="36" l="1"/>
  <c r="E426" i="36" s="1"/>
  <c r="G426" i="36" s="1"/>
  <c r="C427" i="36" l="1"/>
  <c r="H421" i="36"/>
  <c r="L421" i="36" s="1"/>
  <c r="H422" i="36"/>
  <c r="L422" i="36" s="1"/>
  <c r="H415" i="36"/>
  <c r="L415" i="36" s="1"/>
  <c r="H423" i="36"/>
  <c r="L423" i="36" s="1"/>
  <c r="H416" i="36"/>
  <c r="L416" i="36" s="1"/>
  <c r="H424" i="36"/>
  <c r="L424" i="36" s="1"/>
  <c r="H417" i="36"/>
  <c r="L417" i="36" s="1"/>
  <c r="H425" i="36"/>
  <c r="L425" i="36" s="1"/>
  <c r="H418" i="36"/>
  <c r="L418" i="36" s="1"/>
  <c r="H426" i="36"/>
  <c r="L426" i="36" s="1"/>
  <c r="H419" i="36"/>
  <c r="L419" i="36" s="1"/>
  <c r="H420" i="36"/>
  <c r="L420" i="36" s="1"/>
  <c r="D427" i="36" l="1"/>
  <c r="E427" i="36" s="1"/>
  <c r="G427" i="36" s="1"/>
  <c r="C428" i="36" s="1"/>
  <c r="D428" i="36" l="1"/>
  <c r="E428" i="36" s="1"/>
  <c r="G428" i="36" s="1"/>
  <c r="C429" i="36" s="1"/>
  <c r="D429" i="36" l="1"/>
  <c r="E429" i="36" s="1"/>
  <c r="G429" i="36" s="1"/>
  <c r="C430" i="36" s="1"/>
  <c r="D430" i="36" l="1"/>
  <c r="E430" i="36" s="1"/>
  <c r="G430" i="36" s="1"/>
  <c r="C431" i="36" s="1"/>
  <c r="D431" i="36" l="1"/>
  <c r="E431" i="36" s="1"/>
  <c r="G431" i="36" s="1"/>
  <c r="C432" i="36" s="1"/>
  <c r="D432" i="36" l="1"/>
  <c r="E432" i="36" s="1"/>
  <c r="G432" i="36" s="1"/>
  <c r="C433" i="36" s="1"/>
  <c r="D433" i="36" l="1"/>
  <c r="E433" i="36" s="1"/>
  <c r="G433" i="36" s="1"/>
  <c r="C434" i="36" s="1"/>
  <c r="D434" i="36" l="1"/>
  <c r="E434" i="36" s="1"/>
  <c r="G434" i="36" s="1"/>
  <c r="C435" i="36" s="1"/>
  <c r="D435" i="36" l="1"/>
  <c r="E435" i="36" s="1"/>
  <c r="G435" i="36" s="1"/>
  <c r="C436" i="36" s="1"/>
  <c r="D436" i="36" l="1"/>
  <c r="E436" i="36" s="1"/>
  <c r="G436" i="36" s="1"/>
  <c r="C437" i="36" s="1"/>
  <c r="D437" i="36" l="1"/>
  <c r="E437" i="36" s="1"/>
  <c r="G437" i="36" s="1"/>
  <c r="C438" i="36" s="1"/>
  <c r="D438" i="36" l="1"/>
  <c r="E438" i="36" s="1"/>
  <c r="G438" i="36" s="1"/>
  <c r="C439" i="36" l="1"/>
  <c r="H429" i="36"/>
  <c r="L429" i="36" s="1"/>
  <c r="H437" i="36"/>
  <c r="L437" i="36" s="1"/>
  <c r="H430" i="36"/>
  <c r="L430" i="36" s="1"/>
  <c r="H438" i="36"/>
  <c r="L438" i="36" s="1"/>
  <c r="H431" i="36"/>
  <c r="L431" i="36" s="1"/>
  <c r="H432" i="36"/>
  <c r="L432" i="36" s="1"/>
  <c r="H433" i="36"/>
  <c r="L433" i="36" s="1"/>
  <c r="H434" i="36"/>
  <c r="L434" i="36" s="1"/>
  <c r="H427" i="36"/>
  <c r="L427" i="36" s="1"/>
  <c r="H435" i="36"/>
  <c r="L435" i="36" s="1"/>
  <c r="H428" i="36"/>
  <c r="L428" i="36" s="1"/>
  <c r="H436" i="36"/>
  <c r="L436" i="36" s="1"/>
  <c r="D439" i="36" l="1"/>
  <c r="E439" i="36" s="1"/>
  <c r="G439" i="36" s="1"/>
  <c r="C440" i="36" s="1"/>
  <c r="D440" i="36" l="1"/>
  <c r="E440" i="36" s="1"/>
  <c r="G440" i="36" s="1"/>
  <c r="C441" i="36" s="1"/>
  <c r="D441" i="36" l="1"/>
  <c r="E441" i="36" s="1"/>
  <c r="G441" i="36" s="1"/>
  <c r="C442" i="36" s="1"/>
  <c r="D442" i="36" l="1"/>
  <c r="E442" i="36" s="1"/>
  <c r="G442" i="36" s="1"/>
  <c r="C443" i="36" s="1"/>
  <c r="D443" i="36" l="1"/>
  <c r="E443" i="36" s="1"/>
  <c r="G443" i="36" s="1"/>
  <c r="C444" i="36" s="1"/>
  <c r="D444" i="36" l="1"/>
  <c r="E444" i="36" s="1"/>
  <c r="G444" i="36" s="1"/>
  <c r="C445" i="36" s="1"/>
  <c r="D445" i="36" l="1"/>
  <c r="E445" i="36" s="1"/>
  <c r="G445" i="36" s="1"/>
  <c r="C446" i="36" s="1"/>
  <c r="D446" i="36" l="1"/>
  <c r="E446" i="36" s="1"/>
  <c r="G446" i="36" s="1"/>
  <c r="C447" i="36" s="1"/>
  <c r="D447" i="36" l="1"/>
  <c r="E447" i="36" s="1"/>
  <c r="G447" i="36" s="1"/>
  <c r="C448" i="36" s="1"/>
  <c r="D448" i="36" l="1"/>
  <c r="E448" i="36" s="1"/>
  <c r="G448" i="36" s="1"/>
  <c r="C449" i="36" s="1"/>
  <c r="D449" i="36" l="1"/>
  <c r="E449" i="36" s="1"/>
  <c r="G449" i="36" s="1"/>
  <c r="C450" i="36" s="1"/>
  <c r="D450" i="36" l="1"/>
  <c r="E450" i="36" s="1"/>
  <c r="G450" i="36" s="1"/>
  <c r="C451" i="36" l="1"/>
  <c r="H445" i="36"/>
  <c r="L445" i="36" s="1"/>
  <c r="H446" i="36"/>
  <c r="L446" i="36" s="1"/>
  <c r="H439" i="36"/>
  <c r="L439" i="36" s="1"/>
  <c r="H447" i="36"/>
  <c r="L447" i="36" s="1"/>
  <c r="H440" i="36"/>
  <c r="L440" i="36" s="1"/>
  <c r="H448" i="36"/>
  <c r="L448" i="36" s="1"/>
  <c r="H441" i="36"/>
  <c r="L441" i="36" s="1"/>
  <c r="H449" i="36"/>
  <c r="L449" i="36" s="1"/>
  <c r="H442" i="36"/>
  <c r="L442" i="36" s="1"/>
  <c r="H450" i="36"/>
  <c r="L450" i="36" s="1"/>
  <c r="H443" i="36"/>
  <c r="L443" i="36" s="1"/>
  <c r="H444" i="36"/>
  <c r="L444" i="36" s="1"/>
  <c r="D451" i="36" l="1"/>
  <c r="E451" i="36" s="1"/>
  <c r="G451" i="36" s="1"/>
  <c r="C452" i="36" s="1"/>
  <c r="D452" i="36" l="1"/>
  <c r="E452" i="36" s="1"/>
  <c r="G452" i="36" s="1"/>
  <c r="C453" i="36" s="1"/>
  <c r="D453" i="36" l="1"/>
  <c r="E453" i="36" s="1"/>
  <c r="G453" i="36" s="1"/>
  <c r="C454" i="36" s="1"/>
  <c r="D454" i="36" l="1"/>
  <c r="E454" i="36" s="1"/>
  <c r="G454" i="36" s="1"/>
  <c r="C455" i="36" s="1"/>
  <c r="D455" i="36" l="1"/>
  <c r="E455" i="36" s="1"/>
  <c r="G455" i="36" s="1"/>
  <c r="C456" i="36" s="1"/>
  <c r="D456" i="36" l="1"/>
  <c r="E456" i="36" s="1"/>
  <c r="G456" i="36" s="1"/>
  <c r="C457" i="36" s="1"/>
  <c r="D457" i="36" l="1"/>
  <c r="E457" i="36" s="1"/>
  <c r="G457" i="36" s="1"/>
  <c r="C458" i="36" s="1"/>
  <c r="D458" i="36" l="1"/>
  <c r="E458" i="36" s="1"/>
  <c r="G458" i="36" s="1"/>
  <c r="C459" i="36" s="1"/>
  <c r="D459" i="36" l="1"/>
  <c r="E459" i="36" s="1"/>
  <c r="G459" i="36" s="1"/>
  <c r="C460" i="36" s="1"/>
  <c r="D460" i="36" l="1"/>
  <c r="E460" i="36" s="1"/>
  <c r="G460" i="36" s="1"/>
  <c r="C461" i="36" s="1"/>
  <c r="D461" i="36" l="1"/>
  <c r="E461" i="36" s="1"/>
  <c r="G461" i="36" s="1"/>
  <c r="C462" i="36" s="1"/>
  <c r="D462" i="36" l="1"/>
  <c r="E462" i="36" s="1"/>
  <c r="G462" i="36" s="1"/>
  <c r="C463" i="36" l="1"/>
  <c r="H453" i="36"/>
  <c r="L453" i="36" s="1"/>
  <c r="H461" i="36"/>
  <c r="L461" i="36" s="1"/>
  <c r="H454" i="36"/>
  <c r="L454" i="36" s="1"/>
  <c r="H462" i="36"/>
  <c r="L462" i="36" s="1"/>
  <c r="H455" i="36"/>
  <c r="L455" i="36" s="1"/>
  <c r="H456" i="36"/>
  <c r="L456" i="36" s="1"/>
  <c r="H457" i="36"/>
  <c r="L457" i="36" s="1"/>
  <c r="H458" i="36"/>
  <c r="L458" i="36" s="1"/>
  <c r="H451" i="36"/>
  <c r="L451" i="36" s="1"/>
  <c r="H459" i="36"/>
  <c r="L459" i="36" s="1"/>
  <c r="H452" i="36"/>
  <c r="L452" i="36" s="1"/>
  <c r="H460" i="36"/>
  <c r="L460" i="36" s="1"/>
  <c r="D463" i="36" l="1"/>
  <c r="E463" i="36" s="1"/>
  <c r="G463" i="36" s="1"/>
  <c r="C464" i="36" s="1"/>
  <c r="D464" i="36" l="1"/>
  <c r="E464" i="36" s="1"/>
  <c r="G464" i="36" s="1"/>
  <c r="C465" i="36" s="1"/>
  <c r="D465" i="36" l="1"/>
  <c r="E465" i="36" s="1"/>
  <c r="G465" i="36" s="1"/>
  <c r="C466" i="36" s="1"/>
  <c r="D466" i="36" l="1"/>
  <c r="E466" i="36" s="1"/>
  <c r="G466" i="36" s="1"/>
  <c r="C467" i="36" s="1"/>
  <c r="D467" i="36" l="1"/>
  <c r="E467" i="36" s="1"/>
  <c r="G467" i="36" s="1"/>
  <c r="C468" i="36" s="1"/>
  <c r="D468" i="36" l="1"/>
  <c r="E468" i="36" s="1"/>
  <c r="G468" i="36" s="1"/>
  <c r="C469" i="36" s="1"/>
  <c r="D469" i="36" l="1"/>
  <c r="E469" i="36" s="1"/>
  <c r="G469" i="36" s="1"/>
  <c r="C470" i="36" s="1"/>
  <c r="D470" i="36" l="1"/>
  <c r="E470" i="36" s="1"/>
  <c r="G470" i="36" s="1"/>
  <c r="C471" i="36" s="1"/>
  <c r="D471" i="36" l="1"/>
  <c r="E471" i="36" s="1"/>
  <c r="G471" i="36" s="1"/>
  <c r="C472" i="36" s="1"/>
  <c r="D472" i="36" l="1"/>
  <c r="E472" i="36" s="1"/>
  <c r="G472" i="36" s="1"/>
  <c r="C473" i="36" s="1"/>
  <c r="D473" i="36" l="1"/>
  <c r="E473" i="36" s="1"/>
  <c r="G473" i="36" s="1"/>
  <c r="C474" i="36" s="1"/>
  <c r="D474" i="36" l="1"/>
  <c r="E474" i="36" s="1"/>
  <c r="G474" i="36" s="1"/>
  <c r="C475" i="36" l="1"/>
  <c r="H469" i="36"/>
  <c r="L469" i="36" s="1"/>
  <c r="H470" i="36"/>
  <c r="L470" i="36" s="1"/>
  <c r="H463" i="36"/>
  <c r="L463" i="36" s="1"/>
  <c r="H471" i="36"/>
  <c r="L471" i="36" s="1"/>
  <c r="H464" i="36"/>
  <c r="L464" i="36" s="1"/>
  <c r="H472" i="36"/>
  <c r="L472" i="36" s="1"/>
  <c r="H465" i="36"/>
  <c r="L465" i="36" s="1"/>
  <c r="H473" i="36"/>
  <c r="L473" i="36" s="1"/>
  <c r="H466" i="36"/>
  <c r="L466" i="36" s="1"/>
  <c r="H474" i="36"/>
  <c r="L474" i="36" s="1"/>
  <c r="H467" i="36"/>
  <c r="L467" i="36" s="1"/>
  <c r="H468" i="36"/>
  <c r="L468" i="36" s="1"/>
  <c r="D475" i="36" l="1"/>
  <c r="E475" i="36" s="1"/>
  <c r="G475" i="36" s="1"/>
  <c r="C476" i="36" s="1"/>
  <c r="D476" i="36" l="1"/>
  <c r="E476" i="36" s="1"/>
  <c r="G476" i="36" s="1"/>
  <c r="C477" i="36" s="1"/>
  <c r="D477" i="36" l="1"/>
  <c r="E477" i="36" s="1"/>
  <c r="G477" i="36" s="1"/>
  <c r="C478" i="36" s="1"/>
  <c r="D478" i="36" l="1"/>
  <c r="E478" i="36" s="1"/>
  <c r="G478" i="36" s="1"/>
  <c r="C479" i="36" s="1"/>
  <c r="D479" i="36" l="1"/>
  <c r="E479" i="36" s="1"/>
  <c r="G479" i="36" s="1"/>
  <c r="C480" i="36" s="1"/>
  <c r="D480" i="36" l="1"/>
  <c r="E480" i="36" s="1"/>
  <c r="G480" i="36" s="1"/>
  <c r="C481" i="36" s="1"/>
  <c r="D481" i="36" l="1"/>
  <c r="E481" i="36" s="1"/>
  <c r="G481" i="36" s="1"/>
  <c r="C482" i="36" s="1"/>
  <c r="D482" i="36" l="1"/>
  <c r="E482" i="36" s="1"/>
  <c r="G482" i="36" s="1"/>
  <c r="C483" i="36" s="1"/>
  <c r="D483" i="36" l="1"/>
  <c r="E483" i="36" s="1"/>
  <c r="G483" i="36" s="1"/>
  <c r="C484" i="36" s="1"/>
  <c r="D484" i="36" l="1"/>
  <c r="E484" i="36" s="1"/>
  <c r="G484" i="36" s="1"/>
  <c r="C485" i="36" s="1"/>
  <c r="D485" i="36" l="1"/>
  <c r="E485" i="36" s="1"/>
  <c r="G485" i="36" s="1"/>
  <c r="C486" i="36" s="1"/>
  <c r="D486" i="36" l="1"/>
  <c r="E486" i="36" l="1"/>
  <c r="F30" i="41"/>
  <c r="G30" i="41"/>
  <c r="H30" i="41"/>
  <c r="I30" i="41"/>
  <c r="J30" i="41"/>
  <c r="K30" i="41"/>
  <c r="L30" i="41"/>
  <c r="M30" i="41"/>
  <c r="N30" i="41"/>
  <c r="O30" i="41"/>
  <c r="P30" i="41"/>
  <c r="Q30" i="41"/>
  <c r="R30" i="41"/>
  <c r="S30" i="41"/>
  <c r="T30" i="41"/>
  <c r="U30" i="41"/>
  <c r="V30" i="41"/>
  <c r="W30" i="41"/>
  <c r="X30" i="41"/>
  <c r="Y30" i="41"/>
  <c r="Z30" i="41"/>
  <c r="AA30" i="41"/>
  <c r="AB30" i="41"/>
  <c r="AC30" i="41"/>
  <c r="AD30" i="41"/>
  <c r="AE30" i="41"/>
  <c r="AF30" i="41"/>
  <c r="AG30" i="41"/>
  <c r="AH30" i="41"/>
  <c r="AI30" i="41"/>
  <c r="F31" i="41" l="1"/>
  <c r="F34" i="41" s="1"/>
  <c r="G31" i="41"/>
  <c r="G34" i="41" s="1"/>
  <c r="H31" i="41"/>
  <c r="H34" i="41" s="1"/>
  <c r="I31" i="41"/>
  <c r="I34" i="41" s="1"/>
  <c r="J31" i="41"/>
  <c r="J34" i="41" s="1"/>
  <c r="K31" i="41"/>
  <c r="K34" i="41" s="1"/>
  <c r="L31" i="41"/>
  <c r="L34" i="41" s="1"/>
  <c r="M31" i="41"/>
  <c r="M34" i="41" s="1"/>
  <c r="N31" i="41"/>
  <c r="N34" i="41" s="1"/>
  <c r="O31" i="41"/>
  <c r="O34" i="41" s="1"/>
  <c r="P31" i="41"/>
  <c r="P34" i="41" s="1"/>
  <c r="Q31" i="41"/>
  <c r="Q34" i="41" s="1"/>
  <c r="R31" i="41"/>
  <c r="R34" i="41" s="1"/>
  <c r="S31" i="41"/>
  <c r="S34" i="41" s="1"/>
  <c r="T31" i="41"/>
  <c r="T34" i="41" s="1"/>
  <c r="U31" i="41"/>
  <c r="U34" i="41" s="1"/>
  <c r="V31" i="41"/>
  <c r="V34" i="41" s="1"/>
  <c r="W31" i="41"/>
  <c r="W34" i="41" s="1"/>
  <c r="X31" i="41"/>
  <c r="X34" i="41" s="1"/>
  <c r="Y31" i="41"/>
  <c r="Y34" i="41" s="1"/>
  <c r="Z31" i="41"/>
  <c r="Z34" i="41" s="1"/>
  <c r="AA31" i="41"/>
  <c r="AA34" i="41" s="1"/>
  <c r="AB31" i="41"/>
  <c r="AB34" i="41" s="1"/>
  <c r="AC31" i="41"/>
  <c r="AC34" i="41" s="1"/>
  <c r="AD31" i="41"/>
  <c r="AD34" i="41" s="1"/>
  <c r="AE31" i="41"/>
  <c r="AE34" i="41" s="1"/>
  <c r="AF31" i="41"/>
  <c r="AF34" i="41" s="1"/>
  <c r="AG31" i="41"/>
  <c r="AG34" i="41" s="1"/>
  <c r="AH31" i="41"/>
  <c r="AH34" i="41" s="1"/>
  <c r="AI31" i="41"/>
  <c r="AI34" i="41" s="1"/>
  <c r="G486" i="36"/>
  <c r="F35" i="41" l="1"/>
  <c r="F37" i="41"/>
  <c r="AC41" i="41"/>
  <c r="AC46" i="41" s="1"/>
  <c r="AB41" i="41"/>
  <c r="AB46" i="41" s="1"/>
  <c r="AI41" i="41"/>
  <c r="AI46" i="41" s="1"/>
  <c r="AA41" i="41"/>
  <c r="AA46" i="41" s="1"/>
  <c r="AH41" i="41"/>
  <c r="AH46" i="41" s="1"/>
  <c r="Z41" i="41"/>
  <c r="Z46" i="41" s="1"/>
  <c r="AG41" i="41"/>
  <c r="AG46" i="41" s="1"/>
  <c r="AF41" i="41"/>
  <c r="AF46" i="41" s="1"/>
  <c r="AE41" i="41"/>
  <c r="AE46" i="41" s="1"/>
  <c r="AD41" i="41"/>
  <c r="AD46" i="41" s="1"/>
  <c r="F67" i="41"/>
  <c r="F41" i="41"/>
  <c r="F66" i="41"/>
  <c r="C56" i="2"/>
  <c r="D83" i="5"/>
  <c r="H482" i="36"/>
  <c r="L482" i="36" s="1"/>
  <c r="H475" i="36"/>
  <c r="L475" i="36" s="1"/>
  <c r="H483" i="36"/>
  <c r="L483" i="36" s="1"/>
  <c r="H476" i="36"/>
  <c r="L476" i="36" s="1"/>
  <c r="H484" i="36"/>
  <c r="L484" i="36" s="1"/>
  <c r="H477" i="36"/>
  <c r="L477" i="36" s="1"/>
  <c r="H485" i="36"/>
  <c r="L485" i="36" s="1"/>
  <c r="H478" i="36"/>
  <c r="L478" i="36" s="1"/>
  <c r="H486" i="36"/>
  <c r="L486" i="36" s="1"/>
  <c r="H479" i="36"/>
  <c r="L479" i="36" s="1"/>
  <c r="H480" i="36"/>
  <c r="L480" i="36" s="1"/>
  <c r="H481" i="36"/>
  <c r="L481" i="36" s="1"/>
  <c r="AG49" i="41" l="1"/>
  <c r="AG50" i="41"/>
  <c r="AI50" i="41"/>
  <c r="AI49" i="41"/>
  <c r="AI52" i="41" s="1"/>
  <c r="AI55" i="41" s="1"/>
  <c r="Z49" i="41"/>
  <c r="Z50" i="41"/>
  <c r="AA50" i="41"/>
  <c r="AA49" i="41"/>
  <c r="AD50" i="41"/>
  <c r="AD49" i="41"/>
  <c r="AE49" i="41"/>
  <c r="AE50" i="41"/>
  <c r="AE52" i="41" s="1"/>
  <c r="AE54" i="41" s="1"/>
  <c r="AB50" i="41"/>
  <c r="AB49" i="41"/>
  <c r="AH50" i="41"/>
  <c r="AH49" i="41"/>
  <c r="AF50" i="41"/>
  <c r="AF49" i="41"/>
  <c r="AF52" i="41" s="1"/>
  <c r="AF55" i="41" s="1"/>
  <c r="AC49" i="41"/>
  <c r="AC50" i="41"/>
  <c r="D74" i="62"/>
  <c r="D108" i="64"/>
  <c r="AJ108" i="64" s="1"/>
  <c r="C17" i="2"/>
  <c r="D74" i="61"/>
  <c r="F61" i="41"/>
  <c r="AG52" i="41"/>
  <c r="AG54" i="41" s="1"/>
  <c r="F44" i="41"/>
  <c r="E74" i="62" l="1"/>
  <c r="L74" i="62"/>
  <c r="AB52" i="41"/>
  <c r="AB55" i="41" s="1"/>
  <c r="Z52" i="41"/>
  <c r="Z55" i="41" s="1"/>
  <c r="AD52" i="41"/>
  <c r="AD54" i="41" s="1"/>
  <c r="AH52" i="41"/>
  <c r="AH55" i="41" s="1"/>
  <c r="AA52" i="41"/>
  <c r="AA54" i="41" s="1"/>
  <c r="AC52" i="41"/>
  <c r="AC54" i="41" s="1"/>
  <c r="AC55" i="41"/>
  <c r="AA55" i="41"/>
  <c r="L74" i="61"/>
  <c r="N74" i="61" s="1"/>
  <c r="D90" i="61"/>
  <c r="J90" i="61" s="1"/>
  <c r="D110" i="61"/>
  <c r="G110" i="61" s="1"/>
  <c r="D130" i="64"/>
  <c r="AK108" i="64"/>
  <c r="AJ130" i="64"/>
  <c r="L49" i="58"/>
  <c r="E12" i="58" s="1"/>
  <c r="F62" i="41"/>
  <c r="Z54" i="41"/>
  <c r="AG55" i="41"/>
  <c r="AI54" i="41"/>
  <c r="AD55" i="41"/>
  <c r="AF54" i="41"/>
  <c r="AE55" i="41"/>
  <c r="AB54" i="41"/>
  <c r="D17" i="2"/>
  <c r="F46" i="41"/>
  <c r="F47" i="41" s="1"/>
  <c r="AH54" i="41" l="1"/>
  <c r="L81" i="61"/>
  <c r="L96" i="61" s="1"/>
  <c r="AK130" i="64"/>
  <c r="F50" i="41"/>
  <c r="O49" i="58" s="1"/>
  <c r="D12" i="58" s="1"/>
  <c r="F49" i="41"/>
  <c r="N49" i="58"/>
  <c r="C12" i="58" s="1"/>
  <c r="F52" i="41" l="1"/>
  <c r="F55" i="41" s="1"/>
  <c r="I12" i="58"/>
  <c r="F54" i="41" l="1"/>
  <c r="E90" i="5" l="1"/>
  <c r="D60" i="23" s="1"/>
  <c r="C43" i="2"/>
  <c r="D142" i="64" l="1"/>
  <c r="J142" i="64" s="1"/>
  <c r="D122" i="61"/>
  <c r="D107" i="62"/>
  <c r="D43" i="2"/>
  <c r="C18" i="2"/>
  <c r="D131" i="64" l="1"/>
  <c r="AK131" i="64" s="1"/>
  <c r="M79" i="61"/>
  <c r="M81" i="61" s="1"/>
  <c r="D111" i="61"/>
  <c r="E79" i="61"/>
  <c r="N79" i="61" s="1"/>
  <c r="D18" i="2"/>
  <c r="E8" i="58"/>
  <c r="F18" i="2"/>
  <c r="M96" i="61" l="1"/>
  <c r="I8" i="58"/>
  <c r="E53" i="5" l="1"/>
  <c r="R166" i="64" l="1"/>
  <c r="R167" i="64" s="1"/>
  <c r="S166" i="64"/>
  <c r="S167" i="64" s="1"/>
  <c r="T166" i="64"/>
  <c r="T167" i="64" s="1"/>
  <c r="U166" i="64"/>
  <c r="U167" i="64" s="1"/>
  <c r="V166" i="64"/>
  <c r="V167" i="64" s="1"/>
  <c r="W166" i="64"/>
  <c r="W167" i="64" s="1"/>
  <c r="X166" i="64"/>
  <c r="X167" i="64" s="1"/>
  <c r="Y166" i="64"/>
  <c r="Y167" i="64" s="1"/>
  <c r="Z166" i="64"/>
  <c r="Z167" i="64" s="1"/>
  <c r="AA166" i="64"/>
  <c r="AA167" i="64" s="1"/>
  <c r="AB166" i="64"/>
  <c r="AB167" i="64" s="1"/>
  <c r="AC166" i="64"/>
  <c r="AC167" i="64" s="1"/>
  <c r="AD166" i="64"/>
  <c r="AD167" i="64" s="1"/>
  <c r="AE166" i="64"/>
  <c r="AE167" i="64" s="1"/>
  <c r="AF166" i="64"/>
  <c r="AF167" i="64" s="1"/>
  <c r="AG166" i="64"/>
  <c r="AG167" i="64" s="1"/>
  <c r="AH166" i="64"/>
  <c r="AH167" i="64" s="1"/>
  <c r="AI166" i="64"/>
  <c r="AI167" i="64" s="1"/>
  <c r="AJ166" i="64"/>
  <c r="AJ167" i="64" s="1"/>
  <c r="R179" i="64"/>
  <c r="S179" i="64"/>
  <c r="S180" i="64" s="1"/>
  <c r="S181" i="64" s="1"/>
  <c r="T179" i="64"/>
  <c r="U179" i="64"/>
  <c r="U180" i="64" s="1"/>
  <c r="U181" i="64" s="1"/>
  <c r="V179" i="64"/>
  <c r="W179" i="64"/>
  <c r="X179" i="64"/>
  <c r="Y179" i="64"/>
  <c r="Z179" i="64"/>
  <c r="AA179" i="64"/>
  <c r="AA180" i="64" s="1"/>
  <c r="AA181" i="64" s="1"/>
  <c r="AB179" i="64"/>
  <c r="AC179" i="64"/>
  <c r="AC180" i="64" s="1"/>
  <c r="AC181" i="64" s="1"/>
  <c r="AD179" i="64"/>
  <c r="AE179" i="64"/>
  <c r="AF179" i="64"/>
  <c r="AG179" i="64"/>
  <c r="AH179" i="64"/>
  <c r="AI179" i="64"/>
  <c r="AI180" i="64" s="1"/>
  <c r="AI181" i="64" s="1"/>
  <c r="AJ179" i="64"/>
  <c r="R180" i="64"/>
  <c r="R181" i="64" s="1"/>
  <c r="T180" i="64"/>
  <c r="T181" i="64" s="1"/>
  <c r="V180" i="64"/>
  <c r="V181" i="64" s="1"/>
  <c r="W180" i="64"/>
  <c r="W181" i="64" s="1"/>
  <c r="X180" i="64"/>
  <c r="X181" i="64" s="1"/>
  <c r="Y180" i="64"/>
  <c r="Y181" i="64" s="1"/>
  <c r="Z180" i="64"/>
  <c r="Z181" i="64" s="1"/>
  <c r="AB180" i="64"/>
  <c r="AB181" i="64" s="1"/>
  <c r="AD180" i="64"/>
  <c r="AD181" i="64" s="1"/>
  <c r="AE180" i="64"/>
  <c r="AE181" i="64" s="1"/>
  <c r="AF180" i="64"/>
  <c r="AF181" i="64" s="1"/>
  <c r="AG180" i="64"/>
  <c r="AG181" i="64" s="1"/>
  <c r="AH180" i="64"/>
  <c r="AH181" i="64" s="1"/>
  <c r="AJ180" i="64"/>
  <c r="AJ181" i="64" s="1"/>
  <c r="J151" i="64" l="1"/>
  <c r="J153" i="64" s="1"/>
  <c r="I159" i="64"/>
  <c r="I160" i="64" s="1"/>
  <c r="I174" i="64"/>
  <c r="J174" i="64" l="1"/>
  <c r="J183" i="64" s="1"/>
  <c r="J159" i="64"/>
  <c r="J160" i="64" s="1"/>
  <c r="K151" i="64"/>
  <c r="K153" i="64" s="1"/>
  <c r="I198" i="64"/>
  <c r="I183" i="64"/>
  <c r="J198" i="64" l="1"/>
  <c r="L151" i="64"/>
  <c r="L153" i="64" s="1"/>
  <c r="K159" i="64"/>
  <c r="K160" i="64" s="1"/>
  <c r="K174" i="64"/>
  <c r="H141" i="64"/>
  <c r="K183" i="64" l="1"/>
  <c r="K198" i="64"/>
  <c r="AJ110" i="64" l="1"/>
  <c r="AK110" i="64" l="1"/>
  <c r="L174" i="64" l="1"/>
  <c r="L159" i="64"/>
  <c r="L160" i="64" s="1"/>
  <c r="L198" i="64" s="1"/>
  <c r="M151" i="64"/>
  <c r="M153" i="64" s="1"/>
  <c r="M174" i="64"/>
  <c r="M159" i="64"/>
  <c r="M160" i="64" s="1"/>
  <c r="N151" i="64" l="1"/>
  <c r="N153" i="64" s="1"/>
  <c r="N159" i="64"/>
  <c r="N160" i="64" s="1"/>
  <c r="L183" i="64"/>
  <c r="M198" i="64"/>
  <c r="M183" i="64"/>
  <c r="O151" i="64" l="1"/>
  <c r="O153" i="64" s="1"/>
  <c r="O159" i="64"/>
  <c r="O160" i="64" s="1"/>
  <c r="O198" i="64" s="1"/>
  <c r="N174" i="64"/>
  <c r="N183" i="64" s="1"/>
  <c r="N198" i="64"/>
  <c r="O174" i="64" l="1"/>
  <c r="O183" i="64" s="1"/>
  <c r="P151" i="64"/>
  <c r="P153" i="64" s="1"/>
  <c r="P174" i="64"/>
  <c r="Q159" i="64"/>
  <c r="Q160" i="64" s="1"/>
  <c r="P159" i="64"/>
  <c r="P160" i="64" s="1"/>
  <c r="Q151" i="64" l="1"/>
  <c r="P183" i="64"/>
  <c r="Q198" i="64"/>
  <c r="P198" i="64"/>
  <c r="Q174" i="64"/>
  <c r="Q153" i="64" l="1"/>
  <c r="R151" i="64" s="1"/>
  <c r="R153" i="64" s="1"/>
  <c r="S151" i="64" s="1"/>
  <c r="S153" i="64" s="1"/>
  <c r="Q183" i="64"/>
  <c r="S174" i="64"/>
  <c r="R174" i="64"/>
  <c r="S159" i="64"/>
  <c r="S160" i="64" s="1"/>
  <c r="R159" i="64"/>
  <c r="R160" i="64" s="1"/>
  <c r="T151" i="64" l="1"/>
  <c r="T153" i="64" s="1"/>
  <c r="S183" i="64"/>
  <c r="R183" i="64"/>
  <c r="S198" i="64"/>
  <c r="R198" i="64"/>
  <c r="T174" i="64" l="1"/>
  <c r="U151" i="64"/>
  <c r="U153" i="64" s="1"/>
  <c r="T159" i="64"/>
  <c r="T160" i="64" s="1"/>
  <c r="T198" i="64" l="1"/>
  <c r="T183" i="64"/>
  <c r="U174" i="64"/>
  <c r="V151" i="64"/>
  <c r="V153" i="64" s="1"/>
  <c r="U159" i="64"/>
  <c r="U160" i="64" s="1"/>
  <c r="U198" i="64" l="1"/>
  <c r="U183" i="64"/>
  <c r="V174" i="64"/>
  <c r="W151" i="64"/>
  <c r="W153" i="64" s="1"/>
  <c r="V159" i="64"/>
  <c r="V160" i="64" s="1"/>
  <c r="V198" i="64" l="1"/>
  <c r="W174" i="64"/>
  <c r="X151" i="64"/>
  <c r="X153" i="64" s="1"/>
  <c r="W159" i="64"/>
  <c r="W160" i="64" s="1"/>
  <c r="V183" i="64"/>
  <c r="W183" i="64" l="1"/>
  <c r="X174" i="64"/>
  <c r="Y151" i="64"/>
  <c r="Y153" i="64" s="1"/>
  <c r="X159" i="64"/>
  <c r="X160" i="64" s="1"/>
  <c r="W198" i="64"/>
  <c r="X198" i="64" l="1"/>
  <c r="X183" i="64"/>
  <c r="Y174" i="64"/>
  <c r="Z151" i="64"/>
  <c r="Z153" i="64" s="1"/>
  <c r="Y159" i="64"/>
  <c r="Y160" i="64" s="1"/>
  <c r="AA151" i="64" l="1"/>
  <c r="AA153" i="64" s="1"/>
  <c r="Z174" i="64"/>
  <c r="Z159" i="64"/>
  <c r="Z160" i="64" s="1"/>
  <c r="Y198" i="64"/>
  <c r="Y183" i="64"/>
  <c r="Z183" i="64" l="1"/>
  <c r="Z198" i="64"/>
  <c r="AB151" i="64"/>
  <c r="AB153" i="64" s="1"/>
  <c r="AA174" i="64"/>
  <c r="AA159" i="64"/>
  <c r="AA160" i="64" s="1"/>
  <c r="AB174" i="64" l="1"/>
  <c r="AC151" i="64"/>
  <c r="AC153" i="64" s="1"/>
  <c r="AB159" i="64"/>
  <c r="AB160" i="64" s="1"/>
  <c r="AA198" i="64"/>
  <c r="AA183" i="64"/>
  <c r="AB183" i="64" l="1"/>
  <c r="AB198" i="64"/>
  <c r="AC174" i="64"/>
  <c r="AD151" i="64"/>
  <c r="AD153" i="64" s="1"/>
  <c r="AC159" i="64"/>
  <c r="AC160" i="64" s="1"/>
  <c r="AD174" i="64" l="1"/>
  <c r="AE151" i="64"/>
  <c r="AE153" i="64" s="1"/>
  <c r="AD159" i="64"/>
  <c r="AD160" i="64" s="1"/>
  <c r="AC183" i="64"/>
  <c r="AC198" i="64"/>
  <c r="AF151" i="64" l="1"/>
  <c r="AF153" i="64" s="1"/>
  <c r="AD198" i="64"/>
  <c r="AD183" i="64"/>
  <c r="AG151" i="64" l="1"/>
  <c r="AG153" i="64" s="1"/>
  <c r="AH151" i="64" l="1"/>
  <c r="AH153" i="64" s="1"/>
  <c r="AI151" i="64" l="1"/>
  <c r="AI153" i="64" s="1"/>
  <c r="AH174" i="64"/>
  <c r="AH183" i="64" l="1"/>
  <c r="AJ151" i="64"/>
  <c r="AJ153" i="64" s="1"/>
  <c r="AI174" i="64"/>
  <c r="AI183" i="64" l="1"/>
  <c r="B31" i="57"/>
  <c r="F31" i="57" s="1"/>
  <c r="D125" i="64"/>
  <c r="AK125" i="64" s="1"/>
  <c r="D105" i="61"/>
  <c r="G105" i="61" s="1"/>
  <c r="D12" i="2"/>
  <c r="B46" i="2"/>
  <c r="C46" i="2" s="1"/>
  <c r="B47" i="2" l="1"/>
  <c r="F32" i="57"/>
  <c r="E65" i="5" s="1"/>
  <c r="D65" i="5"/>
  <c r="D89" i="64" l="1"/>
  <c r="C16" i="2"/>
  <c r="D56" i="61"/>
  <c r="D56" i="62"/>
  <c r="K56" i="61" l="1"/>
  <c r="K81" i="61" s="1"/>
  <c r="D129" i="64"/>
  <c r="D16" i="2"/>
  <c r="C31" i="2"/>
  <c r="D109" i="61"/>
  <c r="J56" i="62"/>
  <c r="J81" i="62" s="1"/>
  <c r="L56" i="62" l="1"/>
  <c r="N56" i="61"/>
  <c r="E109" i="61"/>
  <c r="G109" i="61" s="1"/>
  <c r="D95" i="62"/>
  <c r="J83" i="62" s="1"/>
  <c r="D31" i="2"/>
  <c r="K96" i="61"/>
  <c r="G81" i="62" l="1"/>
  <c r="G83" i="62" s="1"/>
  <c r="H81" i="62"/>
  <c r="H83" i="62" s="1"/>
  <c r="H81" i="61"/>
  <c r="H96" i="61" s="1"/>
  <c r="F123" i="64"/>
  <c r="AJ123" i="64"/>
  <c r="AJ174" i="64" l="1"/>
  <c r="AJ183" i="64" s="1"/>
  <c r="F174" i="64"/>
  <c r="F175" i="64" l="1"/>
  <c r="F183" i="64"/>
  <c r="F176" i="64" l="1"/>
  <c r="F89" i="64" s="1"/>
  <c r="G175" i="64"/>
  <c r="G168" i="64" l="1"/>
  <c r="H175" i="64"/>
  <c r="G176" i="64"/>
  <c r="G89" i="64" s="1"/>
  <c r="G129" i="64" s="1"/>
  <c r="G161" i="64"/>
  <c r="F129" i="64"/>
  <c r="F128" i="64"/>
  <c r="AK128" i="64" s="1"/>
  <c r="H176" i="64" l="1"/>
  <c r="H89" i="64" s="1"/>
  <c r="H129" i="64" s="1"/>
  <c r="H161" i="64"/>
  <c r="H168" i="64"/>
  <c r="I175" i="64"/>
  <c r="J175" i="64" l="1"/>
  <c r="I176" i="64"/>
  <c r="I89" i="64" s="1"/>
  <c r="I129" i="64" s="1"/>
  <c r="I168" i="64"/>
  <c r="I161" i="64"/>
  <c r="J176" i="64" l="1"/>
  <c r="J89" i="64" s="1"/>
  <c r="J129" i="64" s="1"/>
  <c r="J168" i="64"/>
  <c r="J161" i="64"/>
  <c r="K175" i="64"/>
  <c r="K161" i="64" l="1"/>
  <c r="L175" i="64"/>
  <c r="K168" i="64"/>
  <c r="K176" i="64"/>
  <c r="K89" i="64" s="1"/>
  <c r="K129" i="64" s="1"/>
  <c r="L168" i="64" l="1"/>
  <c r="L176" i="64"/>
  <c r="L89" i="64" s="1"/>
  <c r="L129" i="64" s="1"/>
  <c r="L161" i="64"/>
  <c r="M175" i="64"/>
  <c r="M176" i="64" l="1"/>
  <c r="M89" i="64" s="1"/>
  <c r="M129" i="64" s="1"/>
  <c r="N175" i="64"/>
  <c r="M168" i="64"/>
  <c r="M161" i="64"/>
  <c r="N168" i="64" l="1"/>
  <c r="N161" i="64"/>
  <c r="O175" i="64"/>
  <c r="N176" i="64"/>
  <c r="N89" i="64" s="1"/>
  <c r="N129" i="64" s="1"/>
  <c r="O168" i="64" l="1"/>
  <c r="O161" i="64"/>
  <c r="O176" i="64"/>
  <c r="O89" i="64" s="1"/>
  <c r="O129" i="64" s="1"/>
  <c r="P175" i="64"/>
  <c r="P168" i="64" l="1"/>
  <c r="P176" i="64"/>
  <c r="P89" i="64" s="1"/>
  <c r="P129" i="64" s="1"/>
  <c r="Q175" i="64"/>
  <c r="P161" i="64"/>
  <c r="Q176" i="64" l="1"/>
  <c r="Q89" i="64" s="1"/>
  <c r="Q129" i="64" s="1"/>
  <c r="Q168" i="64"/>
  <c r="Q161" i="64"/>
  <c r="R175" i="64"/>
  <c r="R176" i="64" l="1"/>
  <c r="R89" i="64" s="1"/>
  <c r="R129" i="64" s="1"/>
  <c r="R168" i="64"/>
  <c r="R161" i="64"/>
  <c r="S175" i="64"/>
  <c r="S161" i="64" l="1"/>
  <c r="S168" i="64"/>
  <c r="S176" i="64"/>
  <c r="S89" i="64" s="1"/>
  <c r="S129" i="64" s="1"/>
  <c r="T175" i="64"/>
  <c r="T176" i="64" l="1"/>
  <c r="T89" i="64" s="1"/>
  <c r="T129" i="64" s="1"/>
  <c r="T168" i="64"/>
  <c r="T161" i="64"/>
  <c r="U175" i="64"/>
  <c r="U168" i="64" l="1"/>
  <c r="U161" i="64"/>
  <c r="U176" i="64"/>
  <c r="U89" i="64" s="1"/>
  <c r="U129" i="64" s="1"/>
  <c r="V175" i="64"/>
  <c r="V168" i="64" l="1"/>
  <c r="V161" i="64"/>
  <c r="W175" i="64"/>
  <c r="V176" i="64"/>
  <c r="V89" i="64" s="1"/>
  <c r="V129" i="64" s="1"/>
  <c r="W161" i="64" l="1"/>
  <c r="X175" i="64"/>
  <c r="W176" i="64"/>
  <c r="W89" i="64" s="1"/>
  <c r="W129" i="64" s="1"/>
  <c r="W168" i="64"/>
  <c r="X168" i="64" l="1"/>
  <c r="X161" i="64"/>
  <c r="Y175" i="64"/>
  <c r="X176" i="64"/>
  <c r="X89" i="64" s="1"/>
  <c r="X129" i="64" s="1"/>
  <c r="Y168" i="64" l="1"/>
  <c r="Z175" i="64"/>
  <c r="Y176" i="64"/>
  <c r="Y89" i="64" s="1"/>
  <c r="Y129" i="64" s="1"/>
  <c r="Y161" i="64"/>
  <c r="Z168" i="64" l="1"/>
  <c r="Z176" i="64"/>
  <c r="Z89" i="64" s="1"/>
  <c r="Z129" i="64" s="1"/>
  <c r="Z161" i="64"/>
  <c r="AA175" i="64"/>
  <c r="AA168" i="64" l="1"/>
  <c r="AA161" i="64"/>
  <c r="AA176" i="64"/>
  <c r="AA89" i="64" s="1"/>
  <c r="AA129" i="64" s="1"/>
  <c r="AB175" i="64"/>
  <c r="AB168" i="64" l="1"/>
  <c r="AB161" i="64"/>
  <c r="AC175" i="64"/>
  <c r="AB176" i="64"/>
  <c r="AB89" i="64" s="1"/>
  <c r="AB129" i="64" s="1"/>
  <c r="AC168" i="64" l="1"/>
  <c r="AD175" i="64"/>
  <c r="AC176" i="64"/>
  <c r="AC89" i="64" s="1"/>
  <c r="AC129" i="64" s="1"/>
  <c r="AC161" i="64"/>
  <c r="AD161" i="64" l="1"/>
  <c r="AD176" i="64"/>
  <c r="AD89" i="64" s="1"/>
  <c r="AD129" i="64" s="1"/>
  <c r="AD168" i="64"/>
  <c r="AE123" i="64"/>
  <c r="AF123" i="64"/>
  <c r="AF174" i="64" s="1"/>
  <c r="AG123" i="64"/>
  <c r="AG174" i="64" s="1"/>
  <c r="AF159" i="64" l="1"/>
  <c r="AF160" i="64" s="1"/>
  <c r="AF198" i="64" s="1"/>
  <c r="AH159" i="64"/>
  <c r="AH160" i="64" s="1"/>
  <c r="AH198" i="64" s="1"/>
  <c r="AI159" i="64"/>
  <c r="AI160" i="64" s="1"/>
  <c r="AI198" i="64" s="1"/>
  <c r="AJ159" i="64"/>
  <c r="AJ160" i="64" s="1"/>
  <c r="AJ198" i="64" s="1"/>
  <c r="AK123" i="64"/>
  <c r="AE159" i="64"/>
  <c r="AE160" i="64" s="1"/>
  <c r="AE198" i="64" s="1"/>
  <c r="AG183" i="64"/>
  <c r="AF183" i="64"/>
  <c r="AE174" i="64"/>
  <c r="AG159" i="64"/>
  <c r="AG160" i="64" s="1"/>
  <c r="AG198" i="64" s="1"/>
  <c r="AE183" i="64" l="1"/>
  <c r="AE175" i="64"/>
  <c r="AE168" i="64" l="1"/>
  <c r="AE176" i="64"/>
  <c r="AE89" i="64" s="1"/>
  <c r="AE161" i="64"/>
  <c r="AF175" i="64"/>
  <c r="AF168" i="64" l="1"/>
  <c r="AF176" i="64"/>
  <c r="AF89" i="64" s="1"/>
  <c r="AF129" i="64" s="1"/>
  <c r="AF161" i="64"/>
  <c r="AG175" i="64"/>
  <c r="AE129" i="64"/>
  <c r="AG161" i="64" l="1"/>
  <c r="AG176" i="64"/>
  <c r="AG89" i="64" s="1"/>
  <c r="AG168" i="64"/>
  <c r="AH175" i="64"/>
  <c r="AG129" i="64" l="1"/>
  <c r="AH161" i="64"/>
  <c r="AI175" i="64"/>
  <c r="AH176" i="64"/>
  <c r="AH89" i="64" s="1"/>
  <c r="AH129" i="64" s="1"/>
  <c r="AH168" i="64"/>
  <c r="AJ175" i="64" l="1"/>
  <c r="AI176" i="64"/>
  <c r="AI89" i="64" s="1"/>
  <c r="AI129" i="64" s="1"/>
  <c r="AI161" i="64"/>
  <c r="AI168" i="64"/>
  <c r="AJ89" i="64"/>
  <c r="AJ129" i="64" s="1"/>
  <c r="AK89" i="64" l="1"/>
  <c r="AK129" i="64"/>
  <c r="AJ176" i="64"/>
  <c r="AJ168" i="64"/>
  <c r="AJ161" i="64"/>
  <c r="C52" i="2" l="1"/>
  <c r="G24" i="41"/>
  <c r="H24" i="41"/>
  <c r="I24" i="41"/>
  <c r="J24" i="41"/>
  <c r="K24" i="41"/>
  <c r="L24" i="41"/>
  <c r="M24" i="41"/>
  <c r="N24" i="41"/>
  <c r="O24" i="41"/>
  <c r="P24" i="41"/>
  <c r="Q24" i="41"/>
  <c r="R24" i="41"/>
  <c r="S24" i="41"/>
  <c r="T24" i="41"/>
  <c r="U24" i="41"/>
  <c r="V24" i="41"/>
  <c r="W24" i="41"/>
  <c r="X24" i="41"/>
  <c r="Y24" i="41"/>
  <c r="G25" i="41"/>
  <c r="H25" i="41"/>
  <c r="I25" i="41"/>
  <c r="J25" i="41"/>
  <c r="K25" i="41"/>
  <c r="L25" i="41"/>
  <c r="M25" i="41"/>
  <c r="N25" i="41"/>
  <c r="O25" i="41"/>
  <c r="P25" i="41"/>
  <c r="Q25" i="41"/>
  <c r="R25" i="41"/>
  <c r="S25" i="41"/>
  <c r="T25" i="41"/>
  <c r="U25" i="41"/>
  <c r="V25" i="41"/>
  <c r="W25" i="41"/>
  <c r="X25" i="41"/>
  <c r="Y25" i="41"/>
  <c r="G27" i="41"/>
  <c r="H27" i="41"/>
  <c r="I27" i="41"/>
  <c r="J27" i="41"/>
  <c r="K27" i="41"/>
  <c r="L27" i="41"/>
  <c r="M27" i="41"/>
  <c r="N27" i="41"/>
  <c r="O27" i="41"/>
  <c r="P27" i="41"/>
  <c r="Q27" i="41"/>
  <c r="R27" i="41"/>
  <c r="S27" i="41"/>
  <c r="T27" i="41"/>
  <c r="U27" i="41"/>
  <c r="V27" i="41"/>
  <c r="W27" i="41"/>
  <c r="X27" i="41"/>
  <c r="Y27" i="41"/>
  <c r="G35" i="41"/>
  <c r="H35" i="41"/>
  <c r="I35" i="41"/>
  <c r="J35" i="41"/>
  <c r="K35" i="41"/>
  <c r="L35" i="41"/>
  <c r="M35" i="41"/>
  <c r="N35" i="41"/>
  <c r="O35" i="41"/>
  <c r="P35" i="41"/>
  <c r="Q35" i="41"/>
  <c r="R35" i="41"/>
  <c r="S35" i="41"/>
  <c r="T35" i="41"/>
  <c r="U35" i="41"/>
  <c r="V35" i="41"/>
  <c r="W35" i="41"/>
  <c r="X35" i="41"/>
  <c r="Y35" i="41"/>
  <c r="G37" i="41"/>
  <c r="H37" i="41"/>
  <c r="I37" i="41"/>
  <c r="J37" i="41"/>
  <c r="K37" i="41"/>
  <c r="L37" i="41"/>
  <c r="M37" i="41"/>
  <c r="N37" i="41"/>
  <c r="O37" i="41"/>
  <c r="P37" i="41"/>
  <c r="Q37" i="41"/>
  <c r="R37" i="41"/>
  <c r="S37" i="41"/>
  <c r="T37" i="41"/>
  <c r="U37" i="41"/>
  <c r="V37" i="41"/>
  <c r="W37" i="41"/>
  <c r="X37" i="41"/>
  <c r="Y37" i="41"/>
  <c r="C41" i="41"/>
  <c r="G41" i="41"/>
  <c r="H41" i="41"/>
  <c r="I41" i="41"/>
  <c r="J41" i="41"/>
  <c r="K41" i="41"/>
  <c r="L41" i="41"/>
  <c r="M41" i="41"/>
  <c r="N41" i="41"/>
  <c r="O41" i="41"/>
  <c r="P41" i="41"/>
  <c r="Q41" i="41"/>
  <c r="R41" i="41"/>
  <c r="S41" i="41"/>
  <c r="T41" i="41"/>
  <c r="U41" i="41"/>
  <c r="V41" i="41"/>
  <c r="W41" i="41"/>
  <c r="X41" i="41"/>
  <c r="Y41" i="41"/>
  <c r="B44" i="41"/>
  <c r="G44" i="41"/>
  <c r="H44" i="41"/>
  <c r="I44" i="41"/>
  <c r="J44" i="41"/>
  <c r="K44" i="41"/>
  <c r="L44" i="41"/>
  <c r="M44" i="41"/>
  <c r="N44" i="41"/>
  <c r="O44" i="41"/>
  <c r="P44" i="41"/>
  <c r="Q44" i="41"/>
  <c r="R44" i="41"/>
  <c r="S44" i="41"/>
  <c r="T44" i="41"/>
  <c r="G46" i="41"/>
  <c r="H46" i="41"/>
  <c r="I46" i="41"/>
  <c r="J46" i="41"/>
  <c r="K46" i="41"/>
  <c r="L46" i="41"/>
  <c r="M46" i="41"/>
  <c r="N46" i="41"/>
  <c r="O46" i="41"/>
  <c r="P46" i="41"/>
  <c r="Q46" i="41"/>
  <c r="R46" i="41"/>
  <c r="S46" i="41"/>
  <c r="T46" i="41"/>
  <c r="U46" i="41"/>
  <c r="V46" i="41"/>
  <c r="W46" i="41"/>
  <c r="X46" i="41"/>
  <c r="Y46" i="41"/>
  <c r="G47" i="41"/>
  <c r="H47" i="41"/>
  <c r="I47" i="41"/>
  <c r="J47" i="41"/>
  <c r="K47" i="41"/>
  <c r="L47" i="41"/>
  <c r="M47" i="41"/>
  <c r="N47" i="41"/>
  <c r="O47" i="41"/>
  <c r="P47" i="41"/>
  <c r="Q47" i="41"/>
  <c r="R47" i="41"/>
  <c r="S47" i="41"/>
  <c r="T47" i="41"/>
  <c r="U47" i="41"/>
  <c r="V47" i="41"/>
  <c r="W47" i="41"/>
  <c r="X47" i="41"/>
  <c r="Y47" i="41"/>
  <c r="G49" i="41"/>
  <c r="H49" i="41"/>
  <c r="I49" i="41"/>
  <c r="J49" i="41"/>
  <c r="K49" i="41"/>
  <c r="L49" i="41"/>
  <c r="M49" i="41"/>
  <c r="N49" i="41"/>
  <c r="O49" i="41"/>
  <c r="P49" i="41"/>
  <c r="Q49" i="41"/>
  <c r="R49" i="41"/>
  <c r="S49" i="41"/>
  <c r="T49" i="41"/>
  <c r="U49" i="41"/>
  <c r="V49" i="41"/>
  <c r="W49" i="41"/>
  <c r="X49" i="41"/>
  <c r="Y49" i="41"/>
  <c r="G50" i="41"/>
  <c r="H50" i="41"/>
  <c r="I50" i="41"/>
  <c r="J50" i="41"/>
  <c r="K50" i="41"/>
  <c r="L50" i="41"/>
  <c r="M50" i="41"/>
  <c r="N50" i="41"/>
  <c r="O50" i="41"/>
  <c r="P50" i="41"/>
  <c r="Q50" i="41"/>
  <c r="R50" i="41"/>
  <c r="S50" i="41"/>
  <c r="T50" i="41"/>
  <c r="U50" i="41"/>
  <c r="V50" i="41"/>
  <c r="W50" i="41"/>
  <c r="X50" i="41"/>
  <c r="Y50" i="41"/>
  <c r="G52" i="41"/>
  <c r="H52" i="41"/>
  <c r="I52" i="41"/>
  <c r="J52" i="41"/>
  <c r="K52" i="41"/>
  <c r="L52" i="41"/>
  <c r="M52" i="41"/>
  <c r="N52" i="41"/>
  <c r="O52" i="41"/>
  <c r="P52" i="41"/>
  <c r="Q52" i="41"/>
  <c r="R52" i="41"/>
  <c r="S52" i="41"/>
  <c r="T52" i="41"/>
  <c r="U52" i="41"/>
  <c r="V52" i="41"/>
  <c r="W52" i="41"/>
  <c r="X52" i="41"/>
  <c r="Y52" i="41"/>
  <c r="G54" i="41"/>
  <c r="H54" i="41"/>
  <c r="I54" i="41"/>
  <c r="J54" i="41"/>
  <c r="K54" i="41"/>
  <c r="L54" i="41"/>
  <c r="M54" i="41"/>
  <c r="N54" i="41"/>
  <c r="O54" i="41"/>
  <c r="P54" i="41"/>
  <c r="Q54" i="41"/>
  <c r="R54" i="41"/>
  <c r="S54" i="41"/>
  <c r="T54" i="41"/>
  <c r="U54" i="41"/>
  <c r="V54" i="41"/>
  <c r="W54" i="41"/>
  <c r="X54" i="41"/>
  <c r="Y54" i="41"/>
  <c r="G55" i="41"/>
  <c r="H55" i="41"/>
  <c r="I55" i="41"/>
  <c r="J55" i="41"/>
  <c r="K55" i="41"/>
  <c r="L55" i="41"/>
  <c r="M55" i="41"/>
  <c r="N55" i="41"/>
  <c r="O55" i="41"/>
  <c r="P55" i="41"/>
  <c r="Q55" i="41"/>
  <c r="R55" i="41"/>
  <c r="S55" i="41"/>
  <c r="T55" i="41"/>
  <c r="U55" i="41"/>
  <c r="V55" i="41"/>
  <c r="W55" i="41"/>
  <c r="X55" i="41"/>
  <c r="Y55" i="41"/>
  <c r="G66" i="41"/>
  <c r="H66" i="41"/>
  <c r="I66" i="41"/>
  <c r="J66" i="41"/>
  <c r="K66" i="41"/>
  <c r="L66" i="41"/>
  <c r="M66" i="41"/>
  <c r="N66" i="41"/>
  <c r="O66" i="41"/>
  <c r="P66" i="41"/>
  <c r="Q66" i="41"/>
  <c r="R66" i="41"/>
  <c r="S66" i="41"/>
  <c r="T66" i="41"/>
  <c r="U66" i="41"/>
  <c r="V66" i="41"/>
  <c r="W66" i="41"/>
  <c r="X66" i="41"/>
  <c r="Y66" i="41"/>
  <c r="G67" i="41"/>
  <c r="H67" i="41"/>
  <c r="I67" i="41"/>
  <c r="J67" i="41"/>
  <c r="K67" i="41"/>
  <c r="L67" i="41"/>
  <c r="M67" i="41"/>
  <c r="N67" i="41"/>
  <c r="O67" i="41"/>
  <c r="P67" i="41"/>
  <c r="Q67" i="41"/>
  <c r="R67" i="41"/>
  <c r="S67" i="41"/>
  <c r="T67" i="41"/>
  <c r="U67" i="41"/>
  <c r="V67" i="41"/>
  <c r="W67" i="41"/>
  <c r="X67" i="41"/>
  <c r="Y67" i="41"/>
  <c r="B8" i="57"/>
  <c r="C8" i="57"/>
  <c r="C9" i="57"/>
  <c r="B10" i="57"/>
  <c r="B23" i="57"/>
  <c r="F23" i="57"/>
  <c r="B24" i="57"/>
  <c r="F24" i="57"/>
  <c r="F28" i="57"/>
  <c r="B46" i="57"/>
  <c r="B50" i="57"/>
  <c r="C51" i="57"/>
  <c r="C54" i="57"/>
  <c r="C55" i="57"/>
  <c r="C56" i="57"/>
  <c r="D8" i="34"/>
  <c r="D13" i="34"/>
  <c r="B32" i="5"/>
  <c r="D32" i="5"/>
  <c r="E32" i="5"/>
  <c r="F32" i="5"/>
  <c r="D38" i="5"/>
  <c r="E38" i="5"/>
  <c r="D51" i="5"/>
  <c r="E51" i="5"/>
  <c r="D55" i="5"/>
  <c r="D56" i="5"/>
  <c r="F56" i="5"/>
  <c r="D57" i="5"/>
  <c r="D61" i="5"/>
  <c r="E61" i="5"/>
  <c r="D64" i="5"/>
  <c r="E64" i="5"/>
  <c r="D78" i="5"/>
  <c r="E78" i="5"/>
  <c r="D85" i="5"/>
  <c r="E85" i="5"/>
  <c r="D86" i="5"/>
  <c r="E86" i="5"/>
  <c r="D88" i="5"/>
  <c r="E88" i="5"/>
  <c r="B90" i="5"/>
  <c r="D92" i="5"/>
  <c r="E92" i="5"/>
  <c r="F92" i="5"/>
  <c r="E94" i="5"/>
  <c r="E95" i="5"/>
  <c r="H97" i="5"/>
  <c r="J97" i="5"/>
  <c r="J98" i="5"/>
  <c r="K98" i="5"/>
  <c r="J99" i="5"/>
  <c r="L99" i="5"/>
  <c r="M99" i="5"/>
  <c r="J100" i="5"/>
  <c r="D58" i="64"/>
  <c r="F58" i="64"/>
  <c r="AJ58" i="64"/>
  <c r="AK58" i="64"/>
  <c r="D64" i="64"/>
  <c r="D77" i="64"/>
  <c r="F77" i="64"/>
  <c r="AJ77" i="64"/>
  <c r="AK77" i="64"/>
  <c r="D78" i="64"/>
  <c r="F78" i="64"/>
  <c r="AJ78" i="64"/>
  <c r="AK78" i="64"/>
  <c r="D82" i="64"/>
  <c r="F82" i="64"/>
  <c r="AJ82" i="64"/>
  <c r="AK82" i="64"/>
  <c r="D83" i="64"/>
  <c r="F83" i="64"/>
  <c r="AJ83" i="64"/>
  <c r="AK83" i="64"/>
  <c r="D84" i="64"/>
  <c r="F84" i="64"/>
  <c r="AJ84" i="64"/>
  <c r="AK84" i="64"/>
  <c r="D85" i="64"/>
  <c r="D88" i="64"/>
  <c r="F88" i="64"/>
  <c r="G88" i="64"/>
  <c r="H88" i="64"/>
  <c r="I88" i="64"/>
  <c r="J88" i="64"/>
  <c r="K88" i="64"/>
  <c r="L88" i="64"/>
  <c r="M88" i="64"/>
  <c r="N88" i="64"/>
  <c r="O88" i="64"/>
  <c r="P88" i="64"/>
  <c r="Q88" i="64"/>
  <c r="R88" i="64"/>
  <c r="S88" i="64"/>
  <c r="T88" i="64"/>
  <c r="U88" i="64"/>
  <c r="V88" i="64"/>
  <c r="W88" i="64"/>
  <c r="X88" i="64"/>
  <c r="Y88" i="64"/>
  <c r="Z88" i="64"/>
  <c r="AA88" i="64"/>
  <c r="AB88" i="64"/>
  <c r="AC88" i="64"/>
  <c r="AD88" i="64"/>
  <c r="AE88" i="64"/>
  <c r="AF88" i="64"/>
  <c r="AG88" i="64"/>
  <c r="AH88" i="64"/>
  <c r="AI88" i="64"/>
  <c r="AJ88" i="64"/>
  <c r="AK88" i="64"/>
  <c r="D99" i="64"/>
  <c r="AA99" i="64"/>
  <c r="AB99" i="64"/>
  <c r="AC99" i="64"/>
  <c r="AD99" i="64"/>
  <c r="AE99" i="64"/>
  <c r="AF99" i="64"/>
  <c r="AG99" i="64"/>
  <c r="AJ99" i="64"/>
  <c r="AK99" i="64"/>
  <c r="D100" i="64"/>
  <c r="AA100" i="64"/>
  <c r="AB100" i="64"/>
  <c r="AC100" i="64"/>
  <c r="AD100" i="64"/>
  <c r="AE100" i="64"/>
  <c r="AF100" i="64"/>
  <c r="AG100" i="64"/>
  <c r="AJ100" i="64"/>
  <c r="AK100" i="64"/>
  <c r="D103" i="64"/>
  <c r="D111" i="64"/>
  <c r="J111" i="64"/>
  <c r="L111" i="64"/>
  <c r="M111" i="64"/>
  <c r="N111" i="64"/>
  <c r="U111" i="64"/>
  <c r="W111" i="64"/>
  <c r="Y111" i="64"/>
  <c r="AD111" i="64"/>
  <c r="AJ111" i="64"/>
  <c r="AK111" i="64"/>
  <c r="D112" i="64"/>
  <c r="D117" i="64"/>
  <c r="F117" i="64"/>
  <c r="G117" i="64"/>
  <c r="H117" i="64"/>
  <c r="I117" i="64"/>
  <c r="J117" i="64"/>
  <c r="K117" i="64"/>
  <c r="L117" i="64"/>
  <c r="M117" i="64"/>
  <c r="N117" i="64"/>
  <c r="O117" i="64"/>
  <c r="P117" i="64"/>
  <c r="Q117" i="64"/>
  <c r="R117" i="64"/>
  <c r="S117" i="64"/>
  <c r="T117" i="64"/>
  <c r="U117" i="64"/>
  <c r="V117" i="64"/>
  <c r="W117" i="64"/>
  <c r="X117" i="64"/>
  <c r="Y117" i="64"/>
  <c r="Z117" i="64"/>
  <c r="AA117" i="64"/>
  <c r="AB117" i="64"/>
  <c r="AC117" i="64"/>
  <c r="AD117" i="64"/>
  <c r="AE117" i="64"/>
  <c r="AF117" i="64"/>
  <c r="AG117" i="64"/>
  <c r="AH117" i="64"/>
  <c r="AI117" i="64"/>
  <c r="AJ117" i="64"/>
  <c r="AK117" i="64"/>
  <c r="D120" i="64"/>
  <c r="F120" i="64"/>
  <c r="G120" i="64"/>
  <c r="H120" i="64"/>
  <c r="I120" i="64"/>
  <c r="J120" i="64"/>
  <c r="K120" i="64"/>
  <c r="L120" i="64"/>
  <c r="M120" i="64"/>
  <c r="N120" i="64"/>
  <c r="O120" i="64"/>
  <c r="P120" i="64"/>
  <c r="Q120" i="64"/>
  <c r="R120" i="64"/>
  <c r="S120" i="64"/>
  <c r="T120" i="64"/>
  <c r="U120" i="64"/>
  <c r="V120" i="64"/>
  <c r="W120" i="64"/>
  <c r="X120" i="64"/>
  <c r="Y120" i="64"/>
  <c r="Z120" i="64"/>
  <c r="AA120" i="64"/>
  <c r="AB120" i="64"/>
  <c r="AC120" i="64"/>
  <c r="AD120" i="64"/>
  <c r="AE120" i="64"/>
  <c r="AF120" i="64"/>
  <c r="AG120" i="64"/>
  <c r="AH120" i="64"/>
  <c r="AI120" i="64"/>
  <c r="AJ120" i="64"/>
  <c r="AK120" i="64"/>
  <c r="D127" i="64"/>
  <c r="F127" i="64"/>
  <c r="AA127" i="64"/>
  <c r="AB127" i="64"/>
  <c r="AC127" i="64"/>
  <c r="AD127" i="64"/>
  <c r="AE127" i="64"/>
  <c r="AF127" i="64"/>
  <c r="AG127" i="64"/>
  <c r="AJ127" i="64"/>
  <c r="AK127" i="64"/>
  <c r="D132" i="64"/>
  <c r="F132" i="64"/>
  <c r="G132" i="64"/>
  <c r="H132" i="64"/>
  <c r="I132" i="64"/>
  <c r="J132" i="64"/>
  <c r="K132" i="64"/>
  <c r="L132" i="64"/>
  <c r="M132" i="64"/>
  <c r="N132" i="64"/>
  <c r="O132" i="64"/>
  <c r="P132" i="64"/>
  <c r="Q132" i="64"/>
  <c r="R132" i="64"/>
  <c r="S132" i="64"/>
  <c r="T132" i="64"/>
  <c r="U132" i="64"/>
  <c r="V132" i="64"/>
  <c r="W132" i="64"/>
  <c r="X132" i="64"/>
  <c r="Y132" i="64"/>
  <c r="Z132" i="64"/>
  <c r="AA132" i="64"/>
  <c r="AB132" i="64"/>
  <c r="AC132" i="64"/>
  <c r="AD132" i="64"/>
  <c r="AE132" i="64"/>
  <c r="AF132" i="64"/>
  <c r="AG132" i="64"/>
  <c r="AH132" i="64"/>
  <c r="AI132" i="64"/>
  <c r="AJ132" i="64"/>
  <c r="AK132" i="64"/>
  <c r="F133" i="64"/>
  <c r="G133" i="64"/>
  <c r="H133" i="64"/>
  <c r="I133" i="64"/>
  <c r="J133" i="64"/>
  <c r="K133" i="64"/>
  <c r="L133" i="64"/>
  <c r="M133" i="64"/>
  <c r="N133" i="64"/>
  <c r="O133" i="64"/>
  <c r="P133" i="64"/>
  <c r="Q133" i="64"/>
  <c r="R133" i="64"/>
  <c r="S133" i="64"/>
  <c r="T133" i="64"/>
  <c r="U133" i="64"/>
  <c r="V133" i="64"/>
  <c r="W133" i="64"/>
  <c r="X133" i="64"/>
  <c r="Y133" i="64"/>
  <c r="Z133" i="64"/>
  <c r="AA133" i="64"/>
  <c r="AB133" i="64"/>
  <c r="AC133" i="64"/>
  <c r="AD133" i="64"/>
  <c r="AE133" i="64"/>
  <c r="AF133" i="64"/>
  <c r="AG133" i="64"/>
  <c r="AH133" i="64"/>
  <c r="AI133" i="64"/>
  <c r="AJ133" i="64"/>
  <c r="AK133" i="64"/>
  <c r="D138" i="64"/>
  <c r="F138" i="64"/>
  <c r="I138" i="64"/>
  <c r="J138" i="64"/>
  <c r="D139" i="64"/>
  <c r="F139" i="64"/>
  <c r="I139" i="64"/>
  <c r="J139" i="64"/>
  <c r="D140" i="64"/>
  <c r="F140" i="64"/>
  <c r="G140" i="64"/>
  <c r="H140" i="64"/>
  <c r="I140" i="64"/>
  <c r="J140" i="64"/>
  <c r="D141" i="64"/>
  <c r="G141" i="64"/>
  <c r="I141" i="64"/>
  <c r="J141" i="64"/>
  <c r="D143" i="64"/>
  <c r="F143" i="64"/>
  <c r="G143" i="64"/>
  <c r="H143" i="64"/>
  <c r="I143" i="64"/>
  <c r="J143" i="64"/>
  <c r="F186" i="64"/>
  <c r="G186" i="64"/>
  <c r="H186" i="64"/>
  <c r="I186" i="64"/>
  <c r="J186" i="64"/>
  <c r="K186" i="64"/>
  <c r="L186" i="64"/>
  <c r="M186" i="64"/>
  <c r="N186" i="64"/>
  <c r="O186" i="64"/>
  <c r="P186" i="64"/>
  <c r="Q186" i="64"/>
  <c r="R186" i="64"/>
  <c r="S186" i="64"/>
  <c r="T186" i="64"/>
  <c r="U186" i="64"/>
  <c r="V186" i="64"/>
  <c r="W186" i="64"/>
  <c r="X186" i="64"/>
  <c r="Y186" i="64"/>
  <c r="Z186" i="64"/>
  <c r="AA186" i="64"/>
  <c r="AB186" i="64"/>
  <c r="AC186" i="64"/>
  <c r="AD186" i="64"/>
  <c r="AE186" i="64"/>
  <c r="AF186" i="64"/>
  <c r="AG186" i="64"/>
  <c r="AH186" i="64"/>
  <c r="AI186" i="64"/>
  <c r="AJ186" i="64"/>
  <c r="F187" i="64"/>
  <c r="G187" i="64"/>
  <c r="H187" i="64"/>
  <c r="I187" i="64"/>
  <c r="J187" i="64"/>
  <c r="K187" i="64"/>
  <c r="L187" i="64"/>
  <c r="M187" i="64"/>
  <c r="N187" i="64"/>
  <c r="O187" i="64"/>
  <c r="P187" i="64"/>
  <c r="Q187" i="64"/>
  <c r="R187" i="64"/>
  <c r="S187" i="64"/>
  <c r="T187" i="64"/>
  <c r="U187" i="64"/>
  <c r="V187" i="64"/>
  <c r="W187" i="64"/>
  <c r="X187" i="64"/>
  <c r="Y187" i="64"/>
  <c r="Z187" i="64"/>
  <c r="AA187" i="64"/>
  <c r="AB187" i="64"/>
  <c r="AC187" i="64"/>
  <c r="AD187" i="64"/>
  <c r="AE187" i="64"/>
  <c r="AF187" i="64"/>
  <c r="AG187" i="64"/>
  <c r="AH187" i="64"/>
  <c r="AI187" i="64"/>
  <c r="AJ187" i="64"/>
  <c r="F188" i="64"/>
  <c r="G188" i="64"/>
  <c r="H188" i="64"/>
  <c r="I188" i="64"/>
  <c r="J188" i="64"/>
  <c r="K188" i="64"/>
  <c r="L188" i="64"/>
  <c r="M188" i="64"/>
  <c r="N188" i="64"/>
  <c r="O188" i="64"/>
  <c r="P188" i="64"/>
  <c r="Q188" i="64"/>
  <c r="R188" i="64"/>
  <c r="S188" i="64"/>
  <c r="T188" i="64"/>
  <c r="U188" i="64"/>
  <c r="V188" i="64"/>
  <c r="W188" i="64"/>
  <c r="X188" i="64"/>
  <c r="Y188" i="64"/>
  <c r="Z188" i="64"/>
  <c r="AA188" i="64"/>
  <c r="AB188" i="64"/>
  <c r="AC188" i="64"/>
  <c r="AD188" i="64"/>
  <c r="AE188" i="64"/>
  <c r="AF188" i="64"/>
  <c r="AG188" i="64"/>
  <c r="AH188" i="64"/>
  <c r="AI188" i="64"/>
  <c r="AJ188" i="64"/>
  <c r="F191" i="64"/>
  <c r="G191" i="64"/>
  <c r="H191" i="64"/>
  <c r="I191" i="64"/>
  <c r="J191" i="64"/>
  <c r="K191" i="64"/>
  <c r="L191" i="64"/>
  <c r="M191" i="64"/>
  <c r="N191" i="64"/>
  <c r="O191" i="64"/>
  <c r="P191" i="64"/>
  <c r="Q191" i="64"/>
  <c r="R191" i="64"/>
  <c r="S191" i="64"/>
  <c r="T191" i="64"/>
  <c r="U191" i="64"/>
  <c r="V191" i="64"/>
  <c r="W191" i="64"/>
  <c r="X191" i="64"/>
  <c r="Y191" i="64"/>
  <c r="Z191" i="64"/>
  <c r="AA191" i="64"/>
  <c r="AB191" i="64"/>
  <c r="AC191" i="64"/>
  <c r="AD191" i="64"/>
  <c r="AE191" i="64"/>
  <c r="AF191" i="64"/>
  <c r="AG191" i="64"/>
  <c r="AH191" i="64"/>
  <c r="AI191" i="64"/>
  <c r="AJ191" i="64"/>
  <c r="F192" i="64"/>
  <c r="G192" i="64"/>
  <c r="H192" i="64"/>
  <c r="I192" i="64"/>
  <c r="J192" i="64"/>
  <c r="K192" i="64"/>
  <c r="L192" i="64"/>
  <c r="M192" i="64"/>
  <c r="N192" i="64"/>
  <c r="O192" i="64"/>
  <c r="P192" i="64"/>
  <c r="Q192" i="64"/>
  <c r="R192" i="64"/>
  <c r="S192" i="64"/>
  <c r="T192" i="64"/>
  <c r="U192" i="64"/>
  <c r="V192" i="64"/>
  <c r="W192" i="64"/>
  <c r="X192" i="64"/>
  <c r="Y192" i="64"/>
  <c r="Z192" i="64"/>
  <c r="AA192" i="64"/>
  <c r="AB192" i="64"/>
  <c r="AC192" i="64"/>
  <c r="AD192" i="64"/>
  <c r="AE192" i="64"/>
  <c r="AF192" i="64"/>
  <c r="AG192" i="64"/>
  <c r="AH192" i="64"/>
  <c r="AI192" i="64"/>
  <c r="AJ192" i="64"/>
  <c r="F193" i="64"/>
  <c r="G193" i="64"/>
  <c r="H193" i="64"/>
  <c r="I193" i="64"/>
  <c r="J193" i="64"/>
  <c r="K193" i="64"/>
  <c r="L193" i="64"/>
  <c r="M193" i="64"/>
  <c r="N193" i="64"/>
  <c r="O193" i="64"/>
  <c r="P193" i="64"/>
  <c r="Q193" i="64"/>
  <c r="R193" i="64"/>
  <c r="S193" i="64"/>
  <c r="T193" i="64"/>
  <c r="U193" i="64"/>
  <c r="V193" i="64"/>
  <c r="W193" i="64"/>
  <c r="X193" i="64"/>
  <c r="Y193" i="64"/>
  <c r="Z193" i="64"/>
  <c r="AA193" i="64"/>
  <c r="AB193" i="64"/>
  <c r="AC193" i="64"/>
  <c r="AD193" i="64"/>
  <c r="AE193" i="64"/>
  <c r="AF193" i="64"/>
  <c r="AG193" i="64"/>
  <c r="AH193" i="64"/>
  <c r="AI193" i="64"/>
  <c r="AJ193" i="64"/>
  <c r="F194" i="64"/>
  <c r="G194" i="64"/>
  <c r="H194" i="64"/>
  <c r="I194" i="64"/>
  <c r="J194" i="64"/>
  <c r="K194" i="64"/>
  <c r="L194" i="64"/>
  <c r="M194" i="64"/>
  <c r="N194" i="64"/>
  <c r="O194" i="64"/>
  <c r="P194" i="64"/>
  <c r="Q194" i="64"/>
  <c r="R194" i="64"/>
  <c r="S194" i="64"/>
  <c r="T194" i="64"/>
  <c r="U194" i="64"/>
  <c r="V194" i="64"/>
  <c r="W194" i="64"/>
  <c r="X194" i="64"/>
  <c r="Y194" i="64"/>
  <c r="Z194" i="64"/>
  <c r="AA194" i="64"/>
  <c r="AB194" i="64"/>
  <c r="AC194" i="64"/>
  <c r="AD194" i="64"/>
  <c r="AE194" i="64"/>
  <c r="AF194" i="64"/>
  <c r="AG194" i="64"/>
  <c r="AH194" i="64"/>
  <c r="AI194" i="64"/>
  <c r="AJ194" i="64"/>
  <c r="F196" i="64"/>
  <c r="G196" i="64"/>
  <c r="H196" i="64"/>
  <c r="I196" i="64"/>
  <c r="J196" i="64"/>
  <c r="K196" i="64"/>
  <c r="L196" i="64"/>
  <c r="M196" i="64"/>
  <c r="N196" i="64"/>
  <c r="O196" i="64"/>
  <c r="P196" i="64"/>
  <c r="Q196" i="64"/>
  <c r="R196" i="64"/>
  <c r="S196" i="64"/>
  <c r="T196" i="64"/>
  <c r="U196" i="64"/>
  <c r="V196" i="64"/>
  <c r="W196" i="64"/>
  <c r="X196" i="64"/>
  <c r="Y196" i="64"/>
  <c r="Z196" i="64"/>
  <c r="AA196" i="64"/>
  <c r="AB196" i="64"/>
  <c r="AC196" i="64"/>
  <c r="AD196" i="64"/>
  <c r="AE196" i="64"/>
  <c r="AF196" i="64"/>
  <c r="AG196" i="64"/>
  <c r="AH196" i="64"/>
  <c r="AI196" i="64"/>
  <c r="AJ196" i="64"/>
  <c r="M7" i="63"/>
  <c r="N7" i="63"/>
  <c r="Q11" i="63"/>
  <c r="S11" i="63"/>
  <c r="T11" i="63"/>
  <c r="U11" i="63"/>
  <c r="V11" i="63"/>
  <c r="Q12" i="63"/>
  <c r="S12" i="63"/>
  <c r="T12" i="63"/>
  <c r="U12" i="63"/>
  <c r="V12" i="63"/>
  <c r="Q13" i="63"/>
  <c r="S13" i="63"/>
  <c r="T13" i="63"/>
  <c r="U13" i="63"/>
  <c r="V13" i="63"/>
  <c r="Q14" i="63"/>
  <c r="S14" i="63"/>
  <c r="T14" i="63"/>
  <c r="U14" i="63"/>
  <c r="V14" i="63"/>
  <c r="Q15" i="63"/>
  <c r="S15" i="63"/>
  <c r="T15" i="63"/>
  <c r="U15" i="63"/>
  <c r="V15" i="63"/>
  <c r="Q16" i="63"/>
  <c r="S16" i="63"/>
  <c r="T16" i="63"/>
  <c r="U16" i="63"/>
  <c r="V16" i="63"/>
  <c r="Q17" i="63"/>
  <c r="S17" i="63"/>
  <c r="T17" i="63"/>
  <c r="U17" i="63"/>
  <c r="V17" i="63"/>
  <c r="Q18" i="63"/>
  <c r="S18" i="63"/>
  <c r="T18" i="63"/>
  <c r="U18" i="63"/>
  <c r="V18" i="63"/>
  <c r="Q19" i="63"/>
  <c r="S19" i="63"/>
  <c r="T19" i="63"/>
  <c r="U19" i="63"/>
  <c r="V19" i="63"/>
  <c r="Q20" i="63"/>
  <c r="S20" i="63"/>
  <c r="T20" i="63"/>
  <c r="U20" i="63"/>
  <c r="V20" i="63"/>
  <c r="Q21" i="63"/>
  <c r="S21" i="63"/>
  <c r="T21" i="63"/>
  <c r="U21" i="63"/>
  <c r="V21" i="63"/>
  <c r="Q22" i="63"/>
  <c r="S22" i="63"/>
  <c r="T22" i="63"/>
  <c r="U22" i="63"/>
  <c r="V22" i="63"/>
  <c r="Q23" i="63"/>
  <c r="S23" i="63"/>
  <c r="T23" i="63"/>
  <c r="U23" i="63"/>
  <c r="V23" i="63"/>
  <c r="Q24" i="63"/>
  <c r="S24" i="63"/>
  <c r="T24" i="63"/>
  <c r="U24" i="63"/>
  <c r="V24" i="63"/>
  <c r="Q25" i="63"/>
  <c r="S25" i="63"/>
  <c r="T25" i="63"/>
  <c r="U25" i="63"/>
  <c r="V25" i="63"/>
  <c r="Q26" i="63"/>
  <c r="S26" i="63"/>
  <c r="T26" i="63"/>
  <c r="U26" i="63"/>
  <c r="V26" i="63"/>
  <c r="Q27" i="63"/>
  <c r="S27" i="63"/>
  <c r="T27" i="63"/>
  <c r="U27" i="63"/>
  <c r="V27" i="63"/>
  <c r="Q28" i="63"/>
  <c r="S28" i="63"/>
  <c r="T28" i="63"/>
  <c r="U28" i="63"/>
  <c r="V28" i="63"/>
  <c r="Q29" i="63"/>
  <c r="S29" i="63"/>
  <c r="T29" i="63"/>
  <c r="U29" i="63"/>
  <c r="V29" i="63"/>
  <c r="Q30" i="63"/>
  <c r="S30" i="63"/>
  <c r="T30" i="63"/>
  <c r="U30" i="63"/>
  <c r="V30" i="63"/>
  <c r="Q31" i="63"/>
  <c r="S31" i="63"/>
  <c r="T31" i="63"/>
  <c r="U31" i="63"/>
  <c r="V31" i="63"/>
  <c r="Q32" i="63"/>
  <c r="S32" i="63"/>
  <c r="T32" i="63"/>
  <c r="U32" i="63"/>
  <c r="V32" i="63"/>
  <c r="Q33" i="63"/>
  <c r="S33" i="63"/>
  <c r="T33" i="63"/>
  <c r="U33" i="63"/>
  <c r="V33" i="63"/>
  <c r="Q34" i="63"/>
  <c r="S34" i="63"/>
  <c r="T34" i="63"/>
  <c r="U34" i="63"/>
  <c r="V34" i="63"/>
  <c r="Q35" i="63"/>
  <c r="S35" i="63"/>
  <c r="T35" i="63"/>
  <c r="U35" i="63"/>
  <c r="V35" i="63"/>
  <c r="Q36" i="63"/>
  <c r="S36" i="63"/>
  <c r="T36" i="63"/>
  <c r="U36" i="63"/>
  <c r="V36" i="63"/>
  <c r="Q37" i="63"/>
  <c r="S37" i="63"/>
  <c r="T37" i="63"/>
  <c r="U37" i="63"/>
  <c r="V37" i="63"/>
  <c r="Q38" i="63"/>
  <c r="S38" i="63"/>
  <c r="T38" i="63"/>
  <c r="U38" i="63"/>
  <c r="V38" i="63"/>
  <c r="Q39" i="63"/>
  <c r="S39" i="63"/>
  <c r="T39" i="63"/>
  <c r="U39" i="63"/>
  <c r="V39" i="63"/>
  <c r="V40" i="63"/>
  <c r="D26" i="62"/>
  <c r="E26" i="62"/>
  <c r="L26" i="62"/>
  <c r="D32" i="62"/>
  <c r="D45" i="62"/>
  <c r="E45" i="62"/>
  <c r="I45" i="62"/>
  <c r="L45" i="62"/>
  <c r="D49" i="62"/>
  <c r="I49" i="62"/>
  <c r="L49" i="62"/>
  <c r="D50" i="62"/>
  <c r="I50" i="62"/>
  <c r="L50" i="62"/>
  <c r="D51" i="62"/>
  <c r="I51" i="62"/>
  <c r="L51" i="62"/>
  <c r="D52" i="62"/>
  <c r="D55" i="62"/>
  <c r="I55" i="62"/>
  <c r="L55" i="62"/>
  <c r="D69" i="62"/>
  <c r="D76" i="62"/>
  <c r="I76" i="62"/>
  <c r="L76" i="62"/>
  <c r="D77" i="62"/>
  <c r="I79" i="62"/>
  <c r="K79" i="62"/>
  <c r="L79" i="62"/>
  <c r="D81" i="62"/>
  <c r="E81" i="62"/>
  <c r="I81" i="62"/>
  <c r="K81" i="62"/>
  <c r="L81" i="62"/>
  <c r="E83" i="62"/>
  <c r="I83" i="62"/>
  <c r="K83" i="62"/>
  <c r="D93" i="62"/>
  <c r="D96" i="62"/>
  <c r="D97" i="62"/>
  <c r="D103" i="62"/>
  <c r="D104" i="62"/>
  <c r="D105" i="62"/>
  <c r="D106" i="62"/>
  <c r="D108" i="62"/>
  <c r="D26" i="61"/>
  <c r="E26" i="61"/>
  <c r="N26" i="61"/>
  <c r="D32" i="61"/>
  <c r="D45" i="61"/>
  <c r="E45" i="61"/>
  <c r="J45" i="61"/>
  <c r="N45" i="61"/>
  <c r="D49" i="61"/>
  <c r="J49" i="61"/>
  <c r="N49" i="61"/>
  <c r="D50" i="61"/>
  <c r="J50" i="61"/>
  <c r="N50" i="61"/>
  <c r="D51" i="61"/>
  <c r="J51" i="61"/>
  <c r="N51" i="61"/>
  <c r="D52" i="61"/>
  <c r="D55" i="61"/>
  <c r="E55" i="61"/>
  <c r="N55" i="61"/>
  <c r="E66" i="61"/>
  <c r="J66" i="61"/>
  <c r="N66" i="61"/>
  <c r="D69" i="61"/>
  <c r="D76" i="61"/>
  <c r="E76" i="61"/>
  <c r="N76" i="61"/>
  <c r="D77" i="61"/>
  <c r="D81" i="61"/>
  <c r="E81" i="61"/>
  <c r="J81" i="61"/>
  <c r="N81" i="61"/>
  <c r="D86" i="61"/>
  <c r="J86" i="61"/>
  <c r="D92" i="61"/>
  <c r="J92" i="61"/>
  <c r="D94" i="61"/>
  <c r="J94" i="61"/>
  <c r="E96" i="61"/>
  <c r="J96" i="61"/>
  <c r="D100" i="61"/>
  <c r="G100" i="61"/>
  <c r="D107" i="61"/>
  <c r="E107" i="61"/>
  <c r="G107" i="61"/>
  <c r="E111" i="61"/>
  <c r="G111" i="61"/>
  <c r="D112" i="61"/>
  <c r="D118" i="61"/>
  <c r="D119" i="61"/>
  <c r="D120" i="61"/>
  <c r="D121" i="61"/>
  <c r="D123" i="61"/>
  <c r="C7" i="2"/>
  <c r="D7" i="2"/>
  <c r="E7" i="2"/>
  <c r="F7" i="2"/>
  <c r="E8" i="2"/>
  <c r="E9" i="2"/>
  <c r="E10" i="2"/>
  <c r="E11" i="2"/>
  <c r="E12" i="2"/>
  <c r="E13" i="2"/>
  <c r="C14" i="2"/>
  <c r="D14" i="2"/>
  <c r="E14" i="2"/>
  <c r="F14" i="2"/>
  <c r="E15" i="2"/>
  <c r="E16" i="2"/>
  <c r="E17" i="2"/>
  <c r="E18" i="2"/>
  <c r="C19" i="2"/>
  <c r="D19" i="2"/>
  <c r="E19" i="2"/>
  <c r="C20" i="2"/>
  <c r="E23" i="2"/>
  <c r="E24" i="2"/>
  <c r="E25" i="2"/>
  <c r="E26" i="2"/>
  <c r="E27" i="2"/>
  <c r="E28" i="2"/>
  <c r="C29" i="2"/>
  <c r="D29" i="2"/>
  <c r="E29" i="2"/>
  <c r="E30" i="2"/>
  <c r="E31" i="2"/>
  <c r="C32" i="2"/>
  <c r="D32" i="2"/>
  <c r="E32" i="2"/>
  <c r="C33" i="2"/>
  <c r="D33" i="2"/>
  <c r="E33" i="2"/>
  <c r="C34" i="2"/>
  <c r="D34" i="2"/>
  <c r="E37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E43" i="2"/>
  <c r="C44" i="2"/>
  <c r="D44" i="2"/>
  <c r="E44" i="2"/>
  <c r="C51" i="2"/>
  <c r="C53" i="2"/>
  <c r="C57" i="2"/>
  <c r="C60" i="2"/>
  <c r="C61" i="2"/>
  <c r="C62" i="2"/>
  <c r="D8" i="23"/>
  <c r="D9" i="23"/>
  <c r="D10" i="23"/>
  <c r="D14" i="23"/>
  <c r="D15" i="23"/>
  <c r="D18" i="23"/>
  <c r="D19" i="23"/>
  <c r="D20" i="23"/>
  <c r="D24" i="23"/>
  <c r="D25" i="23"/>
  <c r="E26" i="23"/>
  <c r="D35" i="23"/>
  <c r="D41" i="23"/>
  <c r="D43" i="23"/>
  <c r="D46" i="23"/>
  <c r="D48" i="23"/>
  <c r="D49" i="23"/>
  <c r="D51" i="23"/>
  <c r="D52" i="23"/>
  <c r="D53" i="23"/>
  <c r="D57" i="23"/>
  <c r="D61" i="23"/>
  <c r="D66" i="23"/>
  <c r="D67" i="23"/>
  <c r="D68" i="23"/>
  <c r="E11" i="58"/>
  <c r="I11" i="58"/>
  <c r="C13" i="58"/>
  <c r="D13" i="58"/>
  <c r="E13" i="58"/>
  <c r="I13" i="58"/>
  <c r="C14" i="58"/>
  <c r="D14" i="58"/>
  <c r="E14" i="58"/>
  <c r="I14" i="58"/>
  <c r="C15" i="58"/>
  <c r="D15" i="58"/>
  <c r="E15" i="58"/>
  <c r="I15" i="58"/>
  <c r="C16" i="58"/>
  <c r="D16" i="58"/>
  <c r="E16" i="58"/>
  <c r="I16" i="58"/>
  <c r="C17" i="58"/>
  <c r="D17" i="58"/>
  <c r="E17" i="58"/>
  <c r="I17" i="58"/>
  <c r="C18" i="58"/>
  <c r="D18" i="58"/>
  <c r="E18" i="58"/>
  <c r="I18" i="58"/>
  <c r="C19" i="58"/>
  <c r="D19" i="58"/>
  <c r="E19" i="58"/>
  <c r="I19" i="58"/>
  <c r="C20" i="58"/>
  <c r="D20" i="58"/>
  <c r="E20" i="58"/>
  <c r="I20" i="58"/>
  <c r="C21" i="58"/>
  <c r="D21" i="58"/>
  <c r="E21" i="58"/>
  <c r="I21" i="58"/>
  <c r="C22" i="58"/>
  <c r="D22" i="58"/>
  <c r="E22" i="58"/>
  <c r="I22" i="58"/>
  <c r="C23" i="58"/>
  <c r="D23" i="58"/>
  <c r="E23" i="58"/>
  <c r="I23" i="58"/>
  <c r="C24" i="58"/>
  <c r="D24" i="58"/>
  <c r="E24" i="58"/>
  <c r="I24" i="58"/>
  <c r="C25" i="58"/>
  <c r="D25" i="58"/>
  <c r="E25" i="58"/>
  <c r="I25" i="58"/>
  <c r="C26" i="58"/>
  <c r="D26" i="58"/>
  <c r="E26" i="58"/>
  <c r="I26" i="58"/>
  <c r="C28" i="58"/>
  <c r="D28" i="58"/>
  <c r="E28" i="58"/>
  <c r="I28" i="58"/>
  <c r="L50" i="58"/>
  <c r="N50" i="58"/>
  <c r="O50" i="58"/>
  <c r="L51" i="58"/>
  <c r="N51" i="58"/>
  <c r="O51" i="58"/>
  <c r="L52" i="58"/>
  <c r="N52" i="58"/>
  <c r="O52" i="58"/>
  <c r="L53" i="58"/>
  <c r="N53" i="58"/>
  <c r="O53" i="58"/>
  <c r="L54" i="58"/>
  <c r="N54" i="58"/>
  <c r="O54" i="58"/>
  <c r="L55" i="58"/>
  <c r="N55" i="58"/>
  <c r="O55" i="58"/>
  <c r="L56" i="58"/>
  <c r="N56" i="58"/>
  <c r="O56" i="58"/>
  <c r="L57" i="58"/>
  <c r="N57" i="58"/>
  <c r="O57" i="58"/>
  <c r="L58" i="58"/>
  <c r="N58" i="58"/>
  <c r="O58" i="58"/>
  <c r="L59" i="58"/>
  <c r="N59" i="58"/>
  <c r="O59" i="58"/>
  <c r="L60" i="58"/>
  <c r="N60" i="58"/>
  <c r="O60" i="58"/>
  <c r="L61" i="58"/>
  <c r="N61" i="58"/>
  <c r="O61" i="58"/>
  <c r="L62" i="58"/>
  <c r="N62" i="58"/>
  <c r="O62" i="58"/>
  <c r="L63" i="58"/>
  <c r="N63" i="58"/>
  <c r="O63" i="58"/>
</calcChain>
</file>

<file path=xl/sharedStrings.xml><?xml version="1.0" encoding="utf-8"?>
<sst xmlns="http://schemas.openxmlformats.org/spreadsheetml/2006/main" count="1236" uniqueCount="633">
  <si>
    <t>DDA Basis Adjustment</t>
  </si>
  <si>
    <t>Subtractions:</t>
  </si>
  <si>
    <t>Acquisition Cost in Basis</t>
  </si>
  <si>
    <t>Acquisition Fee in Basis</t>
  </si>
  <si>
    <t>Acquisition-Related Soft Costs</t>
  </si>
  <si>
    <t>Basis Boost</t>
  </si>
  <si>
    <t>Total Adjusted Basis</t>
  </si>
  <si>
    <t>Acquisition Fee Basis Adjustment</t>
  </si>
  <si>
    <t>TDC</t>
  </si>
  <si>
    <t>Development Fee</t>
  </si>
  <si>
    <t>Reserves</t>
  </si>
  <si>
    <t>Cost Certification</t>
  </si>
  <si>
    <t>Rehab Cost</t>
  </si>
  <si>
    <t>Rehab Portion of Dev Fee</t>
  </si>
  <si>
    <t>Acquisition Fee</t>
  </si>
  <si>
    <t>Land Portion of Fee</t>
  </si>
  <si>
    <t>Building Portion of Fee</t>
  </si>
  <si>
    <t>Totals</t>
  </si>
  <si>
    <t>Total Debt Service</t>
  </si>
  <si>
    <t>Deferred Reserve Deposits</t>
  </si>
  <si>
    <t>Surplus/(Gap)</t>
  </si>
  <si>
    <t>DEBT SIZING</t>
  </si>
  <si>
    <t>Special Inspections</t>
  </si>
  <si>
    <t>Green Engineering</t>
  </si>
  <si>
    <t>INCOME &amp; EXPENSE PROJECTIONS</t>
  </si>
  <si>
    <t>Unit Size</t>
  </si>
  <si>
    <t>0-BR</t>
  </si>
  <si>
    <t>1-BR</t>
  </si>
  <si>
    <t>2-BR</t>
  </si>
  <si>
    <t>3-BR</t>
  </si>
  <si>
    <t>4-BR</t>
  </si>
  <si>
    <t>Land</t>
  </si>
  <si>
    <t>Buildings</t>
  </si>
  <si>
    <t>SURPLUS/(SHORTFALL)</t>
  </si>
  <si>
    <t>Total: Acquisition Costs</t>
  </si>
  <si>
    <t>Subtotal: Financing Fees</t>
  </si>
  <si>
    <t>Subtotal: Carrying Costs</t>
  </si>
  <si>
    <t>Subtotal: Reserves and Contingency</t>
  </si>
  <si>
    <t>Eligible Basis</t>
  </si>
  <si>
    <t>TOTAL USES</t>
  </si>
  <si>
    <t>Unit Distribution</t>
  </si>
  <si>
    <t>Syndicator Legal</t>
  </si>
  <si>
    <t>Year</t>
  </si>
  <si>
    <t>Available Cash Flow</t>
  </si>
  <si>
    <t>Third Party Costs</t>
  </si>
  <si>
    <t>Financing Costs</t>
  </si>
  <si>
    <t>Contractor Price and Contingency</t>
  </si>
  <si>
    <t>Sources and Uses</t>
  </si>
  <si>
    <t>Tax Credits</t>
  </si>
  <si>
    <t>Equity Raised</t>
  </si>
  <si>
    <t>Adjusted Basis</t>
  </si>
  <si>
    <t>Annual Credit Rate</t>
  </si>
  <si>
    <t>Percent purchased</t>
  </si>
  <si>
    <t>Raise</t>
  </si>
  <si>
    <t>Total Amt Raised</t>
  </si>
  <si>
    <t>Actual Raise</t>
  </si>
  <si>
    <t>Building Reserve</t>
  </si>
  <si>
    <t xml:space="preserve">Less Residential Vacancies </t>
  </si>
  <si>
    <t>Income</t>
  </si>
  <si>
    <t>Net Income</t>
  </si>
  <si>
    <t>Balloon %</t>
  </si>
  <si>
    <t>NOI</t>
  </si>
  <si>
    <t>Term</t>
  </si>
  <si>
    <t>NET OPERATING INCOME</t>
  </si>
  <si>
    <t>/du</t>
  </si>
  <si>
    <t>Borrower's Engineer/Architect Fees</t>
  </si>
  <si>
    <t>Subtotal</t>
  </si>
  <si>
    <t>Residential Income</t>
  </si>
  <si>
    <t>TOTAL ANNUAL PROJECT INCOME</t>
  </si>
  <si>
    <t>DEVELOPMENT BUDGET</t>
  </si>
  <si>
    <t>1st Loan</t>
  </si>
  <si>
    <t>Management Fee</t>
  </si>
  <si>
    <t>Financing Fees</t>
  </si>
  <si>
    <t>Reserves and Contingency</t>
  </si>
  <si>
    <t>Total Cost</t>
  </si>
  <si>
    <t>Units:</t>
  </si>
  <si>
    <t>Amount</t>
  </si>
  <si>
    <t>Interest Rate</t>
  </si>
  <si>
    <t>Interest</t>
  </si>
  <si>
    <t>Rate</t>
  </si>
  <si>
    <t>Carrying Costs</t>
  </si>
  <si>
    <t xml:space="preserve">Appraisal </t>
  </si>
  <si>
    <t>Acquisition Cost</t>
  </si>
  <si>
    <t>Construction Cost</t>
  </si>
  <si>
    <t>Soft Cost</t>
  </si>
  <si>
    <t>Environmental Phase I &amp; II</t>
  </si>
  <si>
    <t>Survey</t>
  </si>
  <si>
    <t>Utilities</t>
  </si>
  <si>
    <t>Total Development Cost:</t>
  </si>
  <si>
    <t xml:space="preserve">Net Available for Debt Service @ </t>
  </si>
  <si>
    <t>Expenses</t>
  </si>
  <si>
    <t>Title Insurance</t>
  </si>
  <si>
    <t>Total Soft Costs</t>
  </si>
  <si>
    <t>Ancillary Income</t>
  </si>
  <si>
    <t>per DU</t>
  </si>
  <si>
    <t>% of total</t>
  </si>
  <si>
    <t># Rooms</t>
  </si>
  <si>
    <t>Months</t>
  </si>
  <si>
    <t>Years</t>
  </si>
  <si>
    <t>Super's Unit</t>
  </si>
  <si>
    <t>Permanent Sources</t>
  </si>
  <si>
    <t>Income to Expense</t>
  </si>
  <si>
    <t>Soft Cost Contingency</t>
  </si>
  <si>
    <t>Total Income</t>
  </si>
  <si>
    <t>Debt Coverage</t>
  </si>
  <si>
    <t>EFFECTIVE INCOMES</t>
  </si>
  <si>
    <t>EXPENSES</t>
  </si>
  <si>
    <t>Total</t>
  </si>
  <si>
    <t>per unit</t>
  </si>
  <si>
    <t>Total Expenses</t>
  </si>
  <si>
    <t>Net Residential Income</t>
  </si>
  <si>
    <t>MIP</t>
  </si>
  <si>
    <t>Uses</t>
  </si>
  <si>
    <t>Interim Cash Flow</t>
  </si>
  <si>
    <t>Construction Period Cash Flow</t>
  </si>
  <si>
    <t>2nd Loan</t>
  </si>
  <si>
    <t>Supportable Debt</t>
  </si>
  <si>
    <t>Underwriting Assumptions</t>
  </si>
  <si>
    <t>Applicable Fraction x Adj. Basis</t>
  </si>
  <si>
    <t>of Hard Costs</t>
  </si>
  <si>
    <t>Permits and Expediting</t>
  </si>
  <si>
    <t>Maintenance</t>
  </si>
  <si>
    <t>Social Services</t>
  </si>
  <si>
    <t>Subtotal: Soft Costs</t>
  </si>
  <si>
    <t>Organization Costs</t>
  </si>
  <si>
    <t>Amortization</t>
  </si>
  <si>
    <t xml:space="preserve">Stabilized </t>
  </si>
  <si>
    <t>Debt Sizing</t>
  </si>
  <si>
    <t>of Total Loans</t>
  </si>
  <si>
    <t>Pay Rate</t>
  </si>
  <si>
    <t>Accrual Rate</t>
  </si>
  <si>
    <t>Loan Amount</t>
  </si>
  <si>
    <t>Total Term</t>
  </si>
  <si>
    <t>Seller Financing</t>
  </si>
  <si>
    <t>Construction Sources</t>
  </si>
  <si>
    <t>of Acq.</t>
  </si>
  <si>
    <t>Purchase of New Equipment</t>
  </si>
  <si>
    <t>Residential Contingency</t>
  </si>
  <si>
    <t>Residential Cost</t>
  </si>
  <si>
    <t>Total: Construction Cost</t>
  </si>
  <si>
    <t>Mortgage Amortization</t>
  </si>
  <si>
    <t>Principal</t>
  </si>
  <si>
    <t>Ending Principal Balance</t>
  </si>
  <si>
    <t>Starting Principal Balance</t>
  </si>
  <si>
    <t>Servicing</t>
  </si>
  <si>
    <t>Total Payment</t>
  </si>
  <si>
    <r>
      <t xml:space="preserve">Debt Service (Yr. 1) </t>
    </r>
    <r>
      <rPr>
        <i/>
        <sz val="9"/>
        <color indexed="8"/>
        <rFont val="Arial"/>
        <family val="2"/>
      </rPr>
      <t>*see amort</t>
    </r>
  </si>
  <si>
    <r>
      <t xml:space="preserve">Balance </t>
    </r>
    <r>
      <rPr>
        <i/>
        <sz val="9"/>
        <color indexed="8"/>
        <rFont val="Arial"/>
        <family val="2"/>
      </rPr>
      <t>*see amort</t>
    </r>
  </si>
  <si>
    <t>Total P&amp;I</t>
  </si>
  <si>
    <t>COST DETAIL</t>
  </si>
  <si>
    <t>Owner's Policy</t>
  </si>
  <si>
    <t>Searches</t>
  </si>
  <si>
    <t>Sales Tax/Recording Fees</t>
  </si>
  <si>
    <t>Underwriting Cushion + Conversion Estimate</t>
  </si>
  <si>
    <t>Insurance During Construction</t>
  </si>
  <si>
    <t>Insurance</t>
  </si>
  <si>
    <t>Lessor Note</t>
  </si>
  <si>
    <t>Stabilized Cash Flow</t>
  </si>
  <si>
    <t>Acquisition Basis</t>
  </si>
  <si>
    <t>Acquisition - Buildings</t>
  </si>
  <si>
    <t>Appraisal</t>
  </si>
  <si>
    <t>Total Acquisition Basis</t>
  </si>
  <si>
    <t>3rd Loan</t>
  </si>
  <si>
    <t>Month</t>
  </si>
  <si>
    <t>Total Servicing</t>
  </si>
  <si>
    <t>Rental Income</t>
  </si>
  <si>
    <t>Units</t>
  </si>
  <si>
    <t>Total Units</t>
  </si>
  <si>
    <t>5-BR</t>
  </si>
  <si>
    <t>Annual Rent</t>
  </si>
  <si>
    <t>of Construction Cost</t>
  </si>
  <si>
    <r>
      <t xml:space="preserve">Title Insurance </t>
    </r>
    <r>
      <rPr>
        <sz val="9"/>
        <color indexed="8"/>
        <rFont val="Arial"/>
        <family val="2"/>
      </rPr>
      <t>(see Cost Detail Tab)</t>
    </r>
  </si>
  <si>
    <t>General Administrative</t>
  </si>
  <si>
    <t>of Acquisition Price</t>
  </si>
  <si>
    <t>of Seller Loan</t>
  </si>
  <si>
    <t>SF / Spaces / Units</t>
  </si>
  <si>
    <t>Rms / DU</t>
  </si>
  <si>
    <t>Rent / Yr</t>
  </si>
  <si>
    <t>Allowance for Closing Escrows (1 year Ins + 6 mos water)</t>
  </si>
  <si>
    <r>
      <t>Units</t>
    </r>
    <r>
      <rPr>
        <vertAlign val="superscript"/>
        <sz val="9"/>
        <rFont val="Arial"/>
        <family val="2"/>
      </rPr>
      <t>1,2</t>
    </r>
  </si>
  <si>
    <t>Servicing 2</t>
  </si>
  <si>
    <t>Footnotes:</t>
  </si>
  <si>
    <t>Footnotes</t>
  </si>
  <si>
    <t>Contract Price</t>
  </si>
  <si>
    <t>Debt Service</t>
  </si>
  <si>
    <t>First Mortgage - Interest</t>
  </si>
  <si>
    <t>First Mortgage - Principal</t>
  </si>
  <si>
    <t>First Mortgage - MIP</t>
  </si>
  <si>
    <t>First Mortgage - Servicing</t>
  </si>
  <si>
    <t>Lessor Note Excluding Construction Period Interest</t>
  </si>
  <si>
    <t>Assumptions</t>
  </si>
  <si>
    <t>Increases &amp; Splits</t>
  </si>
  <si>
    <t>Construction Period</t>
  </si>
  <si>
    <t>Senior Loan</t>
  </si>
  <si>
    <t>Lender Legal</t>
  </si>
  <si>
    <t>subtotal</t>
  </si>
  <si>
    <t>Annual</t>
  </si>
  <si>
    <t>Per du</t>
  </si>
  <si>
    <t>Combined</t>
  </si>
  <si>
    <t>Community Facility</t>
  </si>
  <si>
    <t>Gross Ancillary Income</t>
  </si>
  <si>
    <t>Gross Rental Income</t>
  </si>
  <si>
    <t>Capitalized Operating Reserve</t>
  </si>
  <si>
    <t>mos M&amp;O/DS</t>
  </si>
  <si>
    <t>per du</t>
  </si>
  <si>
    <t>Conversion</t>
  </si>
  <si>
    <t>Base Operating Budget</t>
  </si>
  <si>
    <t>Less: Interim Income used for Additional Maintenance Work</t>
  </si>
  <si>
    <t>Net Cash Flow Available</t>
  </si>
  <si>
    <t xml:space="preserve">Accounting </t>
  </si>
  <si>
    <t>Environmental -- Spill Testing and Closing</t>
  </si>
  <si>
    <t>Security / Crime / Quality of Life Control Initiative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</si>
  <si>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Residential Income excludes two 2-BR Superintendent units</t>
    </r>
  </si>
  <si>
    <t>(accrued during construction)</t>
  </si>
  <si>
    <t>All-In Rate</t>
  </si>
  <si>
    <t>Stabilized</t>
  </si>
  <si>
    <t>From Closing</t>
  </si>
  <si>
    <t>Total Loan Amount</t>
  </si>
  <si>
    <t>Construction Term</t>
  </si>
  <si>
    <t>Conversion Term</t>
  </si>
  <si>
    <t>Fixed Rates</t>
  </si>
  <si>
    <t>Interest Calculations</t>
  </si>
  <si>
    <t>% Outstanding</t>
  </si>
  <si>
    <t>Investment Rate</t>
  </si>
  <si>
    <t xml:space="preserve">Short Term </t>
  </si>
  <si>
    <t xml:space="preserve">Long Term </t>
  </si>
  <si>
    <t>Investment Spread</t>
  </si>
  <si>
    <t>Negative Arbitrage</t>
  </si>
  <si>
    <t>Bond Amount</t>
  </si>
  <si>
    <t>Days Interest</t>
  </si>
  <si>
    <t>LC Amount</t>
  </si>
  <si>
    <t>Letter of Credit</t>
  </si>
  <si>
    <t>Construction Interest</t>
  </si>
  <si>
    <t>Short Term</t>
  </si>
  <si>
    <t>Long Term</t>
  </si>
  <si>
    <t>LTV</t>
  </si>
  <si>
    <t>Value</t>
  </si>
  <si>
    <t>Max Loan</t>
  </si>
  <si>
    <t>cash acquisition</t>
  </si>
  <si>
    <t>Existing Debt</t>
  </si>
  <si>
    <t>Loan Size</t>
  </si>
  <si>
    <t>DSCR Loan</t>
  </si>
  <si>
    <t>Maintenance Payroll</t>
  </si>
  <si>
    <t>Office Payroll</t>
  </si>
  <si>
    <t>Payroll Taxes and Benefits</t>
  </si>
  <si>
    <t>Gas (Heat/Cooking)</t>
  </si>
  <si>
    <t xml:space="preserve">Electric </t>
  </si>
  <si>
    <t>Water and Sewer</t>
  </si>
  <si>
    <t xml:space="preserve">Management Fee </t>
  </si>
  <si>
    <t>Repairs and Maintenance</t>
  </si>
  <si>
    <t>Security Costs</t>
  </si>
  <si>
    <t>Tenant Association Funds</t>
  </si>
  <si>
    <t>Payroll</t>
  </si>
  <si>
    <t>Admin</t>
  </si>
  <si>
    <t>Stabilized Per Unit</t>
  </si>
  <si>
    <t>Real Estate Tax</t>
  </si>
  <si>
    <t>Developer Fee</t>
  </si>
  <si>
    <t xml:space="preserve">Constr. Year 1 </t>
  </si>
  <si>
    <t xml:space="preserve">Constr. Year 2 </t>
  </si>
  <si>
    <t>HDC Operating Standards</t>
  </si>
  <si>
    <t>Legal</t>
  </si>
  <si>
    <t>Accounting</t>
  </si>
  <si>
    <t>Benchmarking</t>
  </si>
  <si>
    <t>Heating</t>
  </si>
  <si>
    <t>Electric</t>
  </si>
  <si>
    <t>Water/Sewer</t>
  </si>
  <si>
    <t>Supplies/Cleaning</t>
  </si>
  <si>
    <t>Repair/Replacement</t>
  </si>
  <si>
    <t>Maintenance Salaries</t>
  </si>
  <si>
    <t>Elevators</t>
  </si>
  <si>
    <t>du</t>
  </si>
  <si>
    <t>project</t>
  </si>
  <si>
    <t>ERI</t>
  </si>
  <si>
    <t>blding</t>
  </si>
  <si>
    <t>rm</t>
  </si>
  <si>
    <t>elev</t>
  </si>
  <si>
    <t>per</t>
  </si>
  <si>
    <t>reserve</t>
  </si>
  <si>
    <t>total</t>
  </si>
  <si>
    <t>cap rate</t>
  </si>
  <si>
    <t>Deferred Developer Fee</t>
  </si>
  <si>
    <t>LIHTC Equity</t>
  </si>
  <si>
    <t>MDG Design and Construction</t>
  </si>
  <si>
    <t>Notes</t>
  </si>
  <si>
    <t>Transfer Tax</t>
  </si>
  <si>
    <t>San Juan-Guaynabo, PR HUD Metro FMR Area</t>
  </si>
  <si>
    <t>2019 FMR</t>
  </si>
  <si>
    <t>Canales</t>
  </si>
  <si>
    <t>Averaged</t>
  </si>
  <si>
    <t>RAD</t>
  </si>
  <si>
    <t>Davila</t>
  </si>
  <si>
    <t>Vacancy</t>
  </si>
  <si>
    <t>Net Ancillary Income</t>
  </si>
  <si>
    <t>Developer Fee Payment</t>
  </si>
  <si>
    <t>Investor Fee</t>
  </si>
  <si>
    <t>Plug</t>
  </si>
  <si>
    <t>of total LIHTC equity</t>
  </si>
  <si>
    <t>of total fee</t>
  </si>
  <si>
    <t>Utility Allowance</t>
  </si>
  <si>
    <t>Tax Abatement</t>
  </si>
  <si>
    <t>volume cap</t>
  </si>
  <si>
    <t>Used as a source</t>
  </si>
  <si>
    <t>Total Cash Flow During Construction Period (30 Months)</t>
  </si>
  <si>
    <t>Assumed Interest Rate</t>
  </si>
  <si>
    <t>FMR Comp</t>
  </si>
  <si>
    <t>Borrower and PHA Legal</t>
  </si>
  <si>
    <t>PHA Seller Financing</t>
  </si>
  <si>
    <t>Demolition</t>
  </si>
  <si>
    <t>Due Diligence Testing &amp; Reports</t>
  </si>
  <si>
    <r>
      <t>Construction Cash Flow</t>
    </r>
    <r>
      <rPr>
        <i/>
        <vertAlign val="superscript"/>
        <sz val="11"/>
        <rFont val="Arial"/>
        <family val="2"/>
      </rPr>
      <t>1</t>
    </r>
  </si>
  <si>
    <t>Section 18</t>
  </si>
  <si>
    <t>2019 OCAF</t>
  </si>
  <si>
    <t>2020 OCAF</t>
  </si>
  <si>
    <t>electric</t>
  </si>
  <si>
    <t>electric heat</t>
  </si>
  <si>
    <t>electric stove</t>
  </si>
  <si>
    <t>water sewer</t>
  </si>
  <si>
    <t>original RAD contract</t>
  </si>
  <si>
    <t>utility allowance</t>
  </si>
  <si>
    <t>gross rent</t>
  </si>
  <si>
    <t>Capped gross rent</t>
  </si>
  <si>
    <t>Capped Gross Rent Less Allowance</t>
  </si>
  <si>
    <t>Utility Allowances: (Electric, Electric Stove, Electic Water Heat)</t>
  </si>
  <si>
    <t>Operating Budget</t>
  </si>
  <si>
    <t>Predevelopment</t>
  </si>
  <si>
    <t>After Developer Fee</t>
  </si>
  <si>
    <t>VIHA PMN</t>
  </si>
  <si>
    <t>VIHA Subsidy Loan</t>
  </si>
  <si>
    <t>Net Cash</t>
  </si>
  <si>
    <t>VIHA Distribution</t>
  </si>
  <si>
    <t>Developer Distribution</t>
  </si>
  <si>
    <t>VIHA Construction Monitoring</t>
  </si>
  <si>
    <t>VIHA Administrative Fee</t>
  </si>
  <si>
    <t>Job Fairs/Small Business Workshops</t>
  </si>
  <si>
    <t>Market Study</t>
  </si>
  <si>
    <t>Forsyth Financial Consultant Fee</t>
  </si>
  <si>
    <t xml:space="preserve">Syndicator Legal </t>
  </si>
  <si>
    <t>Marketing</t>
  </si>
  <si>
    <t>Initial Tax Credit Certification</t>
  </si>
  <si>
    <t>50% Test Estimate</t>
  </si>
  <si>
    <t>Prelim Aggregate Basis Estimate</t>
  </si>
  <si>
    <t>Volume Cap Bonds Used</t>
  </si>
  <si>
    <t>Percent Financed through Volume Cap Bonds</t>
  </si>
  <si>
    <t>4th Loan</t>
  </si>
  <si>
    <t>VIHA Loan CDBG</t>
  </si>
  <si>
    <t>VIHA Loan FEMA 404</t>
  </si>
  <si>
    <t>VIHA Loan FEMA PA/428</t>
  </si>
  <si>
    <t>Subsidy</t>
  </si>
  <si>
    <t>Accrued Interest</t>
  </si>
  <si>
    <t>Accrued Subordinate Interest</t>
  </si>
  <si>
    <t>Construction Bridge Loan</t>
  </si>
  <si>
    <t>Section 8 Reserve</t>
  </si>
  <si>
    <t>mos income</t>
  </si>
  <si>
    <t>Misc Fees</t>
  </si>
  <si>
    <t>Subtotal: Misc Fees</t>
  </si>
  <si>
    <t>VIHA Tax Credit Training</t>
  </si>
  <si>
    <t>CM Fee</t>
  </si>
  <si>
    <t>Construction Closing</t>
  </si>
  <si>
    <t>Construction Year 1</t>
  </si>
  <si>
    <t>Construction Year 2</t>
  </si>
  <si>
    <t>Admin Fee and Construction Monitoring</t>
  </si>
  <si>
    <t>Asset Management Oversight</t>
  </si>
  <si>
    <t>VIHA Returns and Fees</t>
  </si>
  <si>
    <t>#='Cash Flow'!F34</t>
  </si>
  <si>
    <t>DF</t>
  </si>
  <si>
    <t>15 Year Totals</t>
  </si>
  <si>
    <t>Acquisition/Seller Note Repayments</t>
  </si>
  <si>
    <t>Subsidy Loan Repayments</t>
  </si>
  <si>
    <t>Seller</t>
  </si>
  <si>
    <t>#='Cash Flow'!F38</t>
  </si>
  <si>
    <t>#='Cash Flow'!F39</t>
  </si>
  <si>
    <t>#='Cash Flow'!G39</t>
  </si>
  <si>
    <t>#='Cash Flow'!H39</t>
  </si>
  <si>
    <t>#='Cash Flow'!I39</t>
  </si>
  <si>
    <t>#='Cash Flow'!J39</t>
  </si>
  <si>
    <t>#='Cash Flow'!K39</t>
  </si>
  <si>
    <t>#='Cash Flow'!L39</t>
  </si>
  <si>
    <t>#='Cash Flow'!M39</t>
  </si>
  <si>
    <t>#='Cash Flow'!N39</t>
  </si>
  <si>
    <t>#='Cash Flow'!O39</t>
  </si>
  <si>
    <t>#='Cash Flow'!P39</t>
  </si>
  <si>
    <t>#='Cash Flow'!Q39</t>
  </si>
  <si>
    <t>#='Cash Flow'!R39</t>
  </si>
  <si>
    <t>#='Cash Flow'!S39</t>
  </si>
  <si>
    <t>#='Cash Flow'!T39</t>
  </si>
  <si>
    <t>Total Project</t>
  </si>
  <si>
    <t xml:space="preserve"> 4% Credits</t>
  </si>
  <si>
    <t xml:space="preserve"> 4% Condo Units</t>
  </si>
  <si>
    <t xml:space="preserve"> 4% Condo Qualified Basis</t>
  </si>
  <si>
    <t>Project Max</t>
  </si>
  <si>
    <t>Per Unit Max</t>
  </si>
  <si>
    <t>Allocation Requested</t>
  </si>
  <si>
    <t xml:space="preserve"> 9% Credits</t>
  </si>
  <si>
    <t xml:space="preserve"> 9% Condo Units</t>
  </si>
  <si>
    <t xml:space="preserve"> 9% Condo Qualified Basis</t>
  </si>
  <si>
    <t>Max Allocation</t>
  </si>
  <si>
    <t>YES</t>
  </si>
  <si>
    <t>NO</t>
  </si>
  <si>
    <t xml:space="preserve">LIHTC Fees </t>
  </si>
  <si>
    <t>of bond loan</t>
  </si>
  <si>
    <t>of allocation + Misc</t>
  </si>
  <si>
    <t>Capitalized Ongoing Asset Management Oversight Fee</t>
  </si>
  <si>
    <t>Social Services/Health Surveys During Construction</t>
  </si>
  <si>
    <t>Capitalized Ongoing Social Services</t>
  </si>
  <si>
    <t>Virgin Islands: Piggy/Hamilton RAD</t>
  </si>
  <si>
    <t>Piggy RAD Rents</t>
  </si>
  <si>
    <t>Hamilton RAD Rents</t>
  </si>
  <si>
    <t xml:space="preserve"> /du x 15 years</t>
  </si>
  <si>
    <t>Available After Debt Service</t>
  </si>
  <si>
    <t>VIHA Asset Management Oversight Fee</t>
  </si>
  <si>
    <t>MDG Asset Management Oversight Fee</t>
  </si>
  <si>
    <t>15 Yr Totals</t>
  </si>
  <si>
    <t>Preliminary Draw Schedule</t>
  </si>
  <si>
    <t>Construction Completion</t>
  </si>
  <si>
    <t>Stabilization Period</t>
  </si>
  <si>
    <t>Construction Closing: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</si>
  <si>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</si>
  <si>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</si>
  <si>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</si>
  <si>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</si>
  <si>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</si>
  <si>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</si>
  <si>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</si>
  <si>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</si>
  <si>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</si>
  <si>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</si>
  <si>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</si>
  <si>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</si>
  <si>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</si>
  <si>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</si>
  <si>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</si>
  <si>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</si>
  <si>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</si>
  <si>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</si>
  <si>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</si>
  <si>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</si>
  <si>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</si>
  <si>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</si>
  <si>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</si>
  <si>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</si>
  <si>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</si>
  <si>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</si>
  <si>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</si>
  <si>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</si>
  <si>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</si>
  <si>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</si>
  <si>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Construction Start:</t>
  </si>
  <si>
    <t>Cumul. Const. Comp. % (at EOM)</t>
  </si>
  <si>
    <t>Total Construction Time</t>
  </si>
  <si>
    <t>Const. % Draw</t>
  </si>
  <si>
    <t>Budget</t>
  </si>
  <si>
    <t>Contractor Price</t>
  </si>
  <si>
    <t>Check</t>
  </si>
  <si>
    <t>Site/Community Center</t>
  </si>
  <si>
    <t>Contingency</t>
  </si>
  <si>
    <t>Total Hard Cost</t>
  </si>
  <si>
    <t>TOTAL DEVELOPMENT COST</t>
  </si>
  <si>
    <t>Closing Draw</t>
  </si>
  <si>
    <t>Construction</t>
  </si>
  <si>
    <t>Stabilization</t>
  </si>
  <si>
    <t>VIHA Reimbursement Amounts</t>
  </si>
  <si>
    <t>Draws</t>
  </si>
  <si>
    <t>VIHA Funding Escrow End Balance</t>
  </si>
  <si>
    <t>Units PIS</t>
  </si>
  <si>
    <t>[VIHA Loans Cannot Exceed]</t>
  </si>
  <si>
    <t>Project Use of Funds Below Threshold Check</t>
  </si>
  <si>
    <t>Running Balance of VIHA Funding Available to Project</t>
  </si>
  <si>
    <t>Loan Draw</t>
  </si>
  <si>
    <t>Amount Outstanding</t>
  </si>
  <si>
    <t>Interest Accrued</t>
  </si>
  <si>
    <t>Interest Due</t>
  </si>
  <si>
    <t>50% Test Tracking</t>
  </si>
  <si>
    <t>Rough Aggregate Basis Est Monthly</t>
  </si>
  <si>
    <t>Rough Aggregate Basis Est Total</t>
  </si>
  <si>
    <t>Volume Cap Bonds Expended</t>
  </si>
  <si>
    <t xml:space="preserve">Volume Cap to Aggregate Basis </t>
  </si>
  <si>
    <t>Monthly subsidy needed</t>
  </si>
  <si>
    <t>Escrow Balance</t>
  </si>
  <si>
    <t>Loan Available</t>
  </si>
  <si>
    <t>Construction Consultant Fee</t>
  </si>
  <si>
    <t>VIHA CDBG-DR</t>
  </si>
  <si>
    <t>VIHA Reimbursement FEMA 404</t>
  </si>
  <si>
    <t>VIHA Reimbursement FEMA PA/428</t>
  </si>
  <si>
    <t>Total VIHA Reimbursement During Construction</t>
  </si>
  <si>
    <t>VIHA Reimbursement at Conversion</t>
  </si>
  <si>
    <t>Total VIHA Reimbursement</t>
  </si>
  <si>
    <t>4% LIHTC and FEMA/CDBG-DR</t>
  </si>
  <si>
    <t>CASH FLOW</t>
  </si>
  <si>
    <t>Relocation Unit Repairs</t>
  </si>
  <si>
    <t>Accomodation/Relocation</t>
  </si>
  <si>
    <t>2021 FMR</t>
  </si>
  <si>
    <t>Paid Fee Max</t>
  </si>
  <si>
    <t>S&amp;U</t>
  </si>
  <si>
    <t>Difference</t>
  </si>
  <si>
    <t>Bank Upfront Fee</t>
  </si>
  <si>
    <t>of Loan</t>
  </si>
  <si>
    <t>Draw Fees</t>
  </si>
  <si>
    <t>VIHA Origination Fee</t>
  </si>
  <si>
    <t>VIHA Cost of Issuance</t>
  </si>
  <si>
    <t>TE Construction Loan</t>
  </si>
  <si>
    <t>Permanent Mortgage</t>
  </si>
  <si>
    <t>2021 RAD Contract Rents</t>
  </si>
  <si>
    <t>BR</t>
  </si>
  <si>
    <t>PBV 110% Cap</t>
  </si>
  <si>
    <t>PBRA 120% Cap</t>
  </si>
  <si>
    <t>Contract Rent Difference</t>
  </si>
  <si>
    <t>RAD Rent Comparison Chart</t>
  </si>
  <si>
    <t>RAD Rents / FMR - UA</t>
  </si>
  <si>
    <t>Utility Allowance*</t>
  </si>
  <si>
    <t>*Utility Allowance</t>
  </si>
  <si>
    <t>PBV Rents</t>
  </si>
  <si>
    <t>PBRA Rents</t>
  </si>
  <si>
    <t>PBV Income</t>
  </si>
  <si>
    <t>PBRA Income</t>
  </si>
  <si>
    <t>TOTAL</t>
  </si>
  <si>
    <t>PBV Annual Income</t>
  </si>
  <si>
    <t>PBRA Annual Income</t>
  </si>
  <si>
    <t>PUPM Difference</t>
  </si>
  <si>
    <t>Title Insurance (see Cost Detail Tab)</t>
  </si>
  <si>
    <t>Subtotal - Hard Cost</t>
  </si>
  <si>
    <t>FEMA PA/428</t>
  </si>
  <si>
    <t>CDBG-DR</t>
  </si>
  <si>
    <t>Bonds</t>
  </si>
  <si>
    <t xml:space="preserve"> Construction Source</t>
  </si>
  <si>
    <t>Source by Use</t>
  </si>
  <si>
    <t>Lease Up &amp; LIHTC Credit Delivery Projection</t>
  </si>
  <si>
    <t>Credits</t>
  </si>
  <si>
    <t>GC Cost</t>
  </si>
  <si>
    <t>Site work last</t>
  </si>
  <si>
    <t>Building #</t>
  </si>
  <si>
    <t>Occupied</t>
  </si>
  <si>
    <t>Unit Type 
(BR Size)</t>
  </si>
  <si>
    <t>Phase</t>
  </si>
  <si>
    <t>Comments</t>
  </si>
  <si>
    <t>Construction / Move Start</t>
  </si>
  <si>
    <t>Construction / Move Completion</t>
  </si>
  <si>
    <t>% Occupied</t>
  </si>
  <si>
    <t>Months of credits</t>
  </si>
  <si>
    <t>Credit Delivery</t>
  </si>
  <si>
    <t>% Basis</t>
  </si>
  <si>
    <t>Credit Share</t>
  </si>
  <si>
    <t>Site work</t>
  </si>
  <si>
    <t>Hamilton-Building 1 (Phase 1)</t>
  </si>
  <si>
    <t>Phase 1</t>
  </si>
  <si>
    <t>Hamilton-Building 2 (Phase 1)</t>
  </si>
  <si>
    <t>Hamilton-Building 3 (Phase 1)</t>
  </si>
  <si>
    <t>Hamilton-Building 4 (Phase 2)</t>
  </si>
  <si>
    <t>Phase 2</t>
  </si>
  <si>
    <t>Hamilton-Building 5 (Phase 2)</t>
  </si>
  <si>
    <t>Hamilton-Building 6 (Phase 2)</t>
  </si>
  <si>
    <t>Hamilton-Building 7 (Phase 4)</t>
  </si>
  <si>
    <t>Phase 4</t>
  </si>
  <si>
    <t>Hamilton-Building 8 (Phase 4)</t>
  </si>
  <si>
    <t>Hamilton-Building 9 (Phase 4)</t>
  </si>
  <si>
    <t>Hamilton-Building 10 (Phase 4)</t>
  </si>
  <si>
    <t>Hamilton-Building 11 (Phase 3)</t>
  </si>
  <si>
    <t>Phase 3</t>
  </si>
  <si>
    <t>Hamilton-Building 12 (Phase 3)</t>
  </si>
  <si>
    <t>Hamilton-Building 13 (Phase 3)</t>
  </si>
  <si>
    <t>Hamilton-Building 14 (Phase 3)</t>
  </si>
  <si>
    <t>Piggy-Building 1 (Phase 3)</t>
  </si>
  <si>
    <t>Piggy-Building 2 (Phase 3)</t>
  </si>
  <si>
    <t>Piggy-Building 3 (Phase 3)</t>
  </si>
  <si>
    <t>Piggy-Building 4 (Phase 3)</t>
  </si>
  <si>
    <t>Piggy-Building 5 (Phase 2)</t>
  </si>
  <si>
    <t>Piggy-Building 6 (Phase 2)</t>
  </si>
  <si>
    <t>Piggy-Building 7 (Phase 2)</t>
  </si>
  <si>
    <t>Piggy-Building 8 (Phase 2)</t>
  </si>
  <si>
    <t>Piggy-Building 9 (Phase 1)</t>
  </si>
  <si>
    <t>Piggy-Building 10 (Phase 1)</t>
  </si>
  <si>
    <t>Piggy-Building 11 (Phase 1)</t>
  </si>
  <si>
    <t>Piggy-Building 12 (Phase 1)</t>
  </si>
  <si>
    <t>Piggy-Building 13 (Phase 1)</t>
  </si>
  <si>
    <t>Full Amounts</t>
  </si>
  <si>
    <t>Additional CDBG-DR VIHA Funding Made Available to Project</t>
  </si>
  <si>
    <t>Total CDBG-DR VIHA Funding Available to Project Based on PIS Milestone</t>
  </si>
  <si>
    <t>Total CDBG-DR VIHA Funding Released</t>
  </si>
  <si>
    <t>Additional FEMA PA/428 VIHA Funding Made Available to Project</t>
  </si>
  <si>
    <t>Total FEMA PA/428 VIHA Funding Available to Project Based on PIS Milestone</t>
  </si>
  <si>
    <t>Total FEMA PA/428 VIHA Funding Released</t>
  </si>
  <si>
    <t>VIHA CDBG-DR Balance</t>
  </si>
  <si>
    <t>VIHA FEMA PA/428 Balance</t>
  </si>
  <si>
    <t>Running Balance of All Draws Against VIHA Funding Available to Project</t>
  </si>
  <si>
    <t>Remaining CDBG-DR VIHA Funding Available</t>
  </si>
  <si>
    <t>Remaining FEMA PA/428 VIHA Funding Available</t>
  </si>
  <si>
    <t>Bond Loan Balance</t>
  </si>
  <si>
    <t>TE Bonds</t>
  </si>
  <si>
    <t>D. Hamilton Jackson/Alphonso Piggy Gerard</t>
  </si>
  <si>
    <t>2019 HUD USVI Market Analysis</t>
  </si>
  <si>
    <t>1200-2500</t>
  </si>
  <si>
    <t>2500-3000</t>
  </si>
  <si>
    <t>4000-6000</t>
  </si>
  <si>
    <t>Low end of Analysis</t>
  </si>
  <si>
    <t>Adjusted Number Used</t>
  </si>
  <si>
    <t>FMR Equivalent</t>
  </si>
  <si>
    <t>INCOME COMPARISON: PBV 110% vs PBRA 150% FMR</t>
  </si>
  <si>
    <t>INCOME COMPARISON: PBV 110% FMR Cap vs PBRA 120% FMR Cap</t>
  </si>
  <si>
    <t>150% FMR Capped Rent</t>
  </si>
  <si>
    <t>150% FMR less UA</t>
  </si>
  <si>
    <t>RENT COMPARISON: FMRs without RCS</t>
  </si>
  <si>
    <t>Bond Paydown</t>
  </si>
  <si>
    <t>CONVERSION COSTS</t>
  </si>
  <si>
    <t>TOTAL CONVERSION COST</t>
  </si>
  <si>
    <t>VIHA FEMA Funding Escrow Balances</t>
  </si>
  <si>
    <t>VIHA FEMA Funding Escrow Start Balance</t>
  </si>
  <si>
    <t>Source by Eligibility</t>
  </si>
  <si>
    <t>VIHA FEMA Funding Milestone</t>
  </si>
  <si>
    <t>Deferred Res</t>
  </si>
  <si>
    <t>Accr Interest</t>
  </si>
  <si>
    <t>Deferred Fee</t>
  </si>
  <si>
    <t>VIHA PBRA Fee</t>
  </si>
  <si>
    <t>2019 Donoe USVI Rent Grids</t>
  </si>
  <si>
    <t>Rent Grid Comp</t>
  </si>
  <si>
    <t>Rent Used for Assumption</t>
  </si>
  <si>
    <t>Bank Permanent Loan Fees</t>
  </si>
  <si>
    <t>of perm + $50k</t>
  </si>
  <si>
    <t>Bank Upfront Construction Fee</t>
  </si>
  <si>
    <t>DSCR</t>
  </si>
  <si>
    <t>Cash Flow as % of OpEx</t>
  </si>
  <si>
    <t>HUD Developer Fee</t>
  </si>
  <si>
    <t>Total Paid Developer Fee</t>
  </si>
  <si>
    <t>HUD Paid Fee Limit (15%)</t>
  </si>
  <si>
    <t>Amount Below Limit</t>
  </si>
  <si>
    <t>HUD SLR</t>
  </si>
  <si>
    <t>Year 1 DSCR</t>
  </si>
  <si>
    <t>Year 20 Cash Flow as % of OpEx</t>
  </si>
  <si>
    <t>Subordinated Operating Expenses</t>
  </si>
  <si>
    <t>Sponsor's Operating Reserve</t>
  </si>
  <si>
    <t>Total Allowance</t>
  </si>
  <si>
    <t>See RAD Rent Comp Tab for rent calculations</t>
  </si>
  <si>
    <t>Rents need to be supported by RCS to come in order to exceed 120% FMR</t>
  </si>
  <si>
    <t>PBRA RAD Rents</t>
  </si>
  <si>
    <t>VIHA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</si>
</sst>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_)"/>
    <numFmt numFmtId="166" formatCode="0.0%"/>
    <numFmt numFmtId="167" formatCode="_(&quot;$&quot;* #,##0_);_(&quot;$&quot;* \(#,##0\);_(&quot;$&quot;* &quot;-&quot;??_);_(@_)"/>
    <numFmt numFmtId="168" formatCode="&quot;$&quot;#,##0"/>
    <numFmt numFmtId="169" formatCode="0.000%"/>
    <numFmt numFmtId="170" formatCode="_(* #,##0_);_(* \(#,##0\);_(* &quot;-&quot;??_);_(@_)"/>
    <numFmt numFmtId="171" formatCode="&quot;$&quot;#,##0.00"/>
    <numFmt numFmtId="172" formatCode="_(* #,##0.0000_);_(* \(#,##0.0000\);_(* &quot;-&quot;??_);_(@_)"/>
    <numFmt numFmtId="173" formatCode="_(* #,##0.0000000_);_(* \(#,##0.0000000\);_(* &quot;-&quot;??_);_(@_)"/>
    <numFmt numFmtId="174" formatCode="0.000"/>
    <numFmt numFmtId="175" formatCode="&quot;$&quot;#,##0.00000"/>
    <numFmt numFmtId="176" formatCode="0.0000000%"/>
    <numFmt numFmtId="177" formatCode="0.00000%"/>
    <numFmt numFmtId="178" formatCode="0.0000%"/>
    <numFmt numFmtId="179" formatCode="#,##0.00000"/>
    <numFmt numFmtId="180" formatCode="_(* #,##0.000_);_(* \(#,##0.000\);_(* &quot;-&quot;??_);_(@_)"/>
  </numFmts>
  <fonts count="101">
    <font>
      <sz val="12"/>
      <name val="Arial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MT"/>
    </font>
    <font>
      <u val="singleAccounting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ndara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i/>
      <sz val="11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u/>
      <sz val="10"/>
      <color indexed="8"/>
      <name val="Arial"/>
      <family val="2"/>
    </font>
    <font>
      <sz val="9"/>
      <name val="Arial"/>
      <family val="2"/>
    </font>
    <font>
      <sz val="11"/>
      <color indexed="9"/>
      <name val="Arial"/>
      <family val="2"/>
    </font>
    <font>
      <b/>
      <u/>
      <sz val="10"/>
      <name val="Arial"/>
      <family val="2"/>
    </font>
    <font>
      <sz val="10"/>
      <color rgb="FF0033CC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9"/>
      <color indexed="8"/>
      <name val="Arial"/>
      <family val="2"/>
    </font>
    <font>
      <sz val="11"/>
      <color rgb="FFFF000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10"/>
      <name val="Arial"/>
      <family val="2"/>
    </font>
    <font>
      <b/>
      <u val="singleAccounting"/>
      <sz val="10"/>
      <name val="Arial"/>
      <family val="2"/>
    </font>
    <font>
      <u val="singleAccounting"/>
      <sz val="11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2"/>
      <name val="Candara"/>
      <family val="2"/>
      <scheme val="minor"/>
    </font>
    <font>
      <sz val="10"/>
      <color theme="1"/>
      <name val="Times New Roman"/>
      <family val="2"/>
    </font>
    <font>
      <i/>
      <sz val="12"/>
      <name val="Arial"/>
      <family val="2"/>
    </font>
    <font>
      <u/>
      <sz val="12"/>
      <name val="Arial"/>
      <family val="2"/>
    </font>
    <font>
      <sz val="10"/>
      <color rgb="FFFF0000"/>
      <name val="Arial"/>
      <family val="2"/>
    </font>
    <font>
      <sz val="12"/>
      <name val="Century Schoolbook"/>
      <family val="1"/>
    </font>
    <font>
      <i/>
      <vertAlign val="superscript"/>
      <sz val="1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B0F0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b/>
      <u/>
      <sz val="9"/>
      <color theme="1"/>
      <name val="Arial"/>
      <family val="2"/>
    </font>
    <font>
      <b/>
      <u val="singleAccounting"/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rgb="FF00B0F0"/>
      <name val="Arial"/>
      <family val="2"/>
    </font>
    <font>
      <b/>
      <i/>
      <sz val="9"/>
      <color rgb="FFFF0000"/>
      <name val="Arial"/>
      <family val="2"/>
    </font>
    <font>
      <b/>
      <u val="singleAccounting"/>
      <sz val="9"/>
      <color rgb="FF00B0F0"/>
      <name val="Arial"/>
      <family val="2"/>
    </font>
    <font>
      <i/>
      <sz val="9"/>
      <color rgb="FF00B0F0"/>
      <name val="Arial"/>
      <family val="2"/>
    </font>
    <font>
      <b/>
      <i/>
      <sz val="9"/>
      <color rgb="FF00B0F0"/>
      <name val="Arial"/>
      <family val="2"/>
    </font>
    <font>
      <u/>
      <sz val="9"/>
      <color theme="1"/>
      <name val="Arial"/>
      <family val="2"/>
    </font>
    <font>
      <b/>
      <u/>
      <sz val="9"/>
      <name val="Arial"/>
      <family val="2"/>
    </font>
    <font>
      <b/>
      <u/>
      <sz val="9"/>
      <color rgb="FF00B0F0"/>
      <name val="Arial"/>
      <family val="2"/>
    </font>
    <font>
      <b/>
      <u val="singleAccounting"/>
      <sz val="9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u/>
      <sz val="1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7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7" tint="0.59999389629810485"/>
        <bgColor indexed="64"/>
      </patternFill>
    </fill>
  </fills>
  <borders count="10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 style="thin">
        <color indexed="8"/>
      </right>
      <top style="thin">
        <color auto="1"/>
      </top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8">
    <xf numFmtId="0" fontId="0" fillId="0" borderId="0"/>
    <xf numFmtId="43" fontId="1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16" fillId="0" borderId="0"/>
    <xf numFmtId="0" fontId="28" fillId="0" borderId="0"/>
    <xf numFmtId="0" fontId="28" fillId="0" borderId="0"/>
    <xf numFmtId="0" fontId="29" fillId="0" borderId="0"/>
    <xf numFmtId="0" fontId="28" fillId="0" borderId="0"/>
    <xf numFmtId="0" fontId="16" fillId="0" borderId="0"/>
    <xf numFmtId="0" fontId="28" fillId="0" borderId="0"/>
    <xf numFmtId="0" fontId="28" fillId="0" borderId="0"/>
    <xf numFmtId="0" fontId="16" fillId="0" borderId="0"/>
    <xf numFmtId="0" fontId="30" fillId="0" borderId="0"/>
    <xf numFmtId="37" fontId="24" fillId="0" borderId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0" borderId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11" fillId="0" borderId="0"/>
    <xf numFmtId="0" fontId="7" fillId="0" borderId="0"/>
    <xf numFmtId="0" fontId="16" fillId="0" borderId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2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16" fillId="0" borderId="0" applyFont="0" applyFill="0" applyBorder="0" applyAlignment="0" applyProtection="0"/>
    <xf numFmtId="0" fontId="5" fillId="0" borderId="0"/>
    <xf numFmtId="0" fontId="5" fillId="0" borderId="0"/>
    <xf numFmtId="0" fontId="6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0" fillId="0" borderId="0"/>
    <xf numFmtId="43" fontId="70" fillId="0" borderId="0" applyFont="0" applyFill="0" applyBorder="0" applyAlignment="0" applyProtection="0"/>
    <xf numFmtId="44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39">
    <xf numFmtId="0" fontId="0" fillId="0" borderId="0" xfId="0"/>
    <xf numFmtId="0" fontId="13" fillId="0" borderId="0" xfId="0" applyFont="1" applyProtection="1"/>
    <xf numFmtId="5" fontId="13" fillId="0" borderId="0" xfId="0" applyNumberFormat="1" applyFont="1" applyProtection="1"/>
    <xf numFmtId="0" fontId="14" fillId="0" borderId="0" xfId="0" applyFont="1" applyProtection="1"/>
    <xf numFmtId="0" fontId="12" fillId="0" borderId="0" xfId="0" applyFont="1" applyAlignment="1" applyProtection="1">
      <alignment horizontal="left"/>
    </xf>
    <xf numFmtId="0" fontId="13" fillId="0" borderId="0" xfId="0" applyFont="1" applyBorder="1" applyProtection="1"/>
    <xf numFmtId="0" fontId="15" fillId="0" borderId="0" xfId="0" applyFont="1"/>
    <xf numFmtId="0" fontId="15" fillId="0" borderId="0" xfId="0" applyFont="1" applyBorder="1"/>
    <xf numFmtId="0" fontId="16" fillId="0" borderId="0" xfId="0" applyFont="1"/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168" fontId="14" fillId="0" borderId="0" xfId="0" applyNumberFormat="1" applyFont="1" applyFill="1" applyBorder="1" applyProtection="1"/>
    <xf numFmtId="0" fontId="13" fillId="0" borderId="0" xfId="0" applyFont="1" applyBorder="1" applyAlignment="1" applyProtection="1">
      <alignment horizontal="center"/>
    </xf>
    <xf numFmtId="0" fontId="16" fillId="0" borderId="0" xfId="0" applyFont="1" applyAlignment="1">
      <alignment horizontal="right"/>
    </xf>
    <xf numFmtId="167" fontId="13" fillId="0" borderId="0" xfId="0" applyNumberFormat="1" applyFont="1" applyBorder="1" applyProtection="1"/>
    <xf numFmtId="9" fontId="16" fillId="0" borderId="0" xfId="0" applyNumberFormat="1" applyFont="1"/>
    <xf numFmtId="3" fontId="16" fillId="0" borderId="0" xfId="0" applyNumberFormat="1" applyFont="1"/>
    <xf numFmtId="0" fontId="18" fillId="0" borderId="0" xfId="0" applyFont="1"/>
    <xf numFmtId="168" fontId="18" fillId="0" borderId="0" xfId="0" applyNumberFormat="1" applyFont="1"/>
    <xf numFmtId="0" fontId="18" fillId="0" borderId="0" xfId="0" applyFont="1" applyBorder="1"/>
    <xf numFmtId="42" fontId="18" fillId="0" borderId="0" xfId="0" applyNumberFormat="1" applyFont="1"/>
    <xf numFmtId="0" fontId="18" fillId="0" borderId="0" xfId="0" applyFont="1" applyFill="1"/>
    <xf numFmtId="0" fontId="18" fillId="0" borderId="0" xfId="0" applyFont="1" applyAlignment="1">
      <alignment horizontal="right"/>
    </xf>
    <xf numFmtId="10" fontId="13" fillId="0" borderId="0" xfId="0" applyNumberFormat="1" applyFont="1" applyFill="1" applyBorder="1" applyProtection="1"/>
    <xf numFmtId="0" fontId="18" fillId="0" borderId="0" xfId="0" applyFont="1" applyBorder="1" applyAlignment="1">
      <alignment horizontal="right"/>
    </xf>
    <xf numFmtId="42" fontId="18" fillId="0" borderId="0" xfId="0" applyNumberFormat="1" applyFont="1" applyBorder="1"/>
    <xf numFmtId="10" fontId="18" fillId="0" borderId="0" xfId="0" applyNumberFormat="1" applyFont="1" applyBorder="1"/>
    <xf numFmtId="42" fontId="19" fillId="0" borderId="0" xfId="0" applyNumberFormat="1" applyFont="1"/>
    <xf numFmtId="0" fontId="19" fillId="0" borderId="0" xfId="0" applyFont="1" applyBorder="1"/>
    <xf numFmtId="0" fontId="11" fillId="0" borderId="0" xfId="0" applyFont="1" applyBorder="1"/>
    <xf numFmtId="0" fontId="11" fillId="0" borderId="0" xfId="0" applyFont="1" applyFill="1" applyBorder="1"/>
    <xf numFmtId="37" fontId="22" fillId="0" borderId="0" xfId="0" applyNumberFormat="1" applyFont="1" applyBorder="1" applyProtection="1"/>
    <xf numFmtId="3" fontId="11" fillId="0" borderId="0" xfId="0" applyNumberFormat="1" applyFont="1"/>
    <xf numFmtId="3" fontId="21" fillId="0" borderId="0" xfId="0" applyNumberFormat="1" applyFont="1"/>
    <xf numFmtId="0" fontId="21" fillId="0" borderId="0" xfId="0" applyFont="1"/>
    <xf numFmtId="0" fontId="11" fillId="0" borderId="0" xfId="0" applyFont="1"/>
    <xf numFmtId="41" fontId="22" fillId="0" borderId="0" xfId="0" applyNumberFormat="1" applyFont="1" applyBorder="1" applyProtection="1"/>
    <xf numFmtId="41" fontId="18" fillId="0" borderId="0" xfId="0" applyNumberFormat="1" applyFont="1" applyBorder="1" applyAlignment="1" applyProtection="1">
      <protection locked="0"/>
    </xf>
    <xf numFmtId="42" fontId="19" fillId="0" borderId="0" xfId="0" applyNumberFormat="1" applyFont="1" applyBorder="1" applyAlignment="1" applyProtection="1">
      <protection locked="0"/>
    </xf>
    <xf numFmtId="0" fontId="22" fillId="0" borderId="0" xfId="0" applyFont="1" applyBorder="1" applyProtection="1"/>
    <xf numFmtId="5" fontId="18" fillId="0" borderId="0" xfId="0" applyNumberFormat="1" applyFont="1" applyBorder="1" applyAlignment="1" applyProtection="1">
      <protection locked="0"/>
    </xf>
    <xf numFmtId="0" fontId="22" fillId="0" borderId="0" xfId="0" applyFont="1" applyProtection="1"/>
    <xf numFmtId="168" fontId="11" fillId="0" borderId="0" xfId="0" applyNumberFormat="1" applyFont="1"/>
    <xf numFmtId="10" fontId="22" fillId="0" borderId="0" xfId="0" applyNumberFormat="1" applyFont="1" applyBorder="1" applyProtection="1"/>
    <xf numFmtId="0" fontId="37" fillId="2" borderId="0" xfId="0" applyFont="1" applyFill="1" applyBorder="1"/>
    <xf numFmtId="14" fontId="15" fillId="2" borderId="0" xfId="0" quotePrefix="1" applyNumberFormat="1" applyFont="1" applyFill="1" applyBorder="1"/>
    <xf numFmtId="0" fontId="37" fillId="2" borderId="3" xfId="0" applyFont="1" applyFill="1" applyBorder="1"/>
    <xf numFmtId="0" fontId="38" fillId="2" borderId="3" xfId="0" applyFont="1" applyFill="1" applyBorder="1" applyAlignment="1">
      <alignment horizontal="right"/>
    </xf>
    <xf numFmtId="0" fontId="39" fillId="3" borderId="0" xfId="0" applyFont="1" applyFill="1" applyBorder="1"/>
    <xf numFmtId="0" fontId="26" fillId="0" borderId="0" xfId="0" applyFont="1" applyProtection="1">
      <protection locked="0"/>
    </xf>
    <xf numFmtId="0" fontId="33" fillId="0" borderId="0" xfId="0" applyFont="1" applyFill="1" applyBorder="1"/>
    <xf numFmtId="41" fontId="26" fillId="0" borderId="0" xfId="0" applyNumberFormat="1" applyFont="1" applyProtection="1">
      <protection locked="0"/>
    </xf>
    <xf numFmtId="9" fontId="26" fillId="0" borderId="0" xfId="0" applyNumberFormat="1" applyFont="1" applyProtection="1">
      <protection locked="0"/>
    </xf>
    <xf numFmtId="170" fontId="26" fillId="0" borderId="0" xfId="1" applyNumberFormat="1" applyFont="1" applyProtection="1">
      <protection locked="0"/>
    </xf>
    <xf numFmtId="0" fontId="16" fillId="0" borderId="0" xfId="0" applyFont="1" applyAlignment="1"/>
    <xf numFmtId="10" fontId="11" fillId="0" borderId="0" xfId="0" applyNumberFormat="1" applyFont="1"/>
    <xf numFmtId="14" fontId="19" fillId="2" borderId="0" xfId="0" applyNumberFormat="1" applyFont="1" applyFill="1" applyBorder="1"/>
    <xf numFmtId="0" fontId="19" fillId="2" borderId="0" xfId="0" applyFont="1" applyFill="1" applyBorder="1"/>
    <xf numFmtId="0" fontId="19" fillId="2" borderId="3" xfId="0" applyFont="1" applyFill="1" applyBorder="1"/>
    <xf numFmtId="42" fontId="11" fillId="0" borderId="0" xfId="0" applyNumberFormat="1" applyFont="1" applyBorder="1" applyProtection="1"/>
    <xf numFmtId="0" fontId="18" fillId="0" borderId="0" xfId="0" applyFont="1" applyFill="1" applyBorder="1"/>
    <xf numFmtId="0" fontId="22" fillId="0" borderId="0" xfId="0" applyFont="1" applyFill="1" applyBorder="1" applyAlignment="1" applyProtection="1"/>
    <xf numFmtId="0" fontId="16" fillId="0" borderId="0" xfId="0" applyFont="1" applyBorder="1"/>
    <xf numFmtId="5" fontId="16" fillId="0" borderId="0" xfId="0" applyNumberFormat="1" applyFont="1" applyBorder="1" applyProtection="1"/>
    <xf numFmtId="41" fontId="16" fillId="0" borderId="0" xfId="0" applyNumberFormat="1" applyFont="1"/>
    <xf numFmtId="10" fontId="16" fillId="0" borderId="0" xfId="23" applyNumberFormat="1" applyFont="1" applyBorder="1"/>
    <xf numFmtId="44" fontId="16" fillId="0" borderId="0" xfId="5" applyFont="1" applyBorder="1"/>
    <xf numFmtId="5" fontId="16" fillId="0" borderId="0" xfId="0" applyNumberFormat="1" applyFont="1"/>
    <xf numFmtId="0" fontId="16" fillId="0" borderId="0" xfId="0" applyFont="1" applyFill="1" applyBorder="1"/>
    <xf numFmtId="41" fontId="25" fillId="0" borderId="0" xfId="0" applyNumberFormat="1" applyFont="1" applyFill="1" applyBorder="1" applyAlignment="1" applyProtection="1">
      <alignment horizontal="center" wrapText="1"/>
    </xf>
    <xf numFmtId="164" fontId="21" fillId="0" borderId="0" xfId="0" applyNumberFormat="1" applyFont="1" applyFill="1" applyBorder="1" applyAlignment="1" applyProtection="1">
      <alignment horizontal="center"/>
    </xf>
    <xf numFmtId="3" fontId="31" fillId="0" borderId="0" xfId="0" applyNumberFormat="1" applyFont="1" applyFill="1" applyBorder="1" applyAlignment="1" applyProtection="1">
      <alignment horizontal="center"/>
    </xf>
    <xf numFmtId="3" fontId="41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5" fontId="14" fillId="0" borderId="0" xfId="0" applyNumberFormat="1" applyFont="1" applyFill="1" applyBorder="1" applyProtection="1"/>
    <xf numFmtId="171" fontId="16" fillId="0" borderId="0" xfId="0" applyNumberFormat="1" applyFont="1" applyFill="1" applyBorder="1"/>
    <xf numFmtId="0" fontId="12" fillId="0" borderId="0" xfId="0" applyFont="1" applyFill="1" applyBorder="1" applyProtection="1"/>
    <xf numFmtId="5" fontId="13" fillId="0" borderId="0" xfId="0" applyNumberFormat="1" applyFont="1" applyFill="1" applyBorder="1" applyProtection="1"/>
    <xf numFmtId="5" fontId="16" fillId="0" borderId="0" xfId="0" applyNumberFormat="1" applyFont="1" applyFill="1" applyBorder="1"/>
    <xf numFmtId="170" fontId="16" fillId="0" borderId="0" xfId="1" applyNumberFormat="1" applyFont="1" applyFill="1" applyBorder="1"/>
    <xf numFmtId="8" fontId="11" fillId="0" borderId="0" xfId="0" applyNumberFormat="1" applyFont="1" applyFill="1" applyBorder="1"/>
    <xf numFmtId="0" fontId="21" fillId="0" borderId="0" xfId="0" applyFont="1" applyBorder="1"/>
    <xf numFmtId="168" fontId="11" fillId="0" borderId="0" xfId="0" applyNumberFormat="1" applyFont="1" applyBorder="1"/>
    <xf numFmtId="0" fontId="41" fillId="0" borderId="0" xfId="0" applyFont="1" applyBorder="1"/>
    <xf numFmtId="168" fontId="11" fillId="0" borderId="0" xfId="0" applyNumberFormat="1" applyFont="1" applyFill="1" applyBorder="1"/>
    <xf numFmtId="0" fontId="41" fillId="0" borderId="0" xfId="0" applyFont="1" applyFill="1" applyBorder="1"/>
    <xf numFmtId="10" fontId="11" fillId="0" borderId="0" xfId="0" applyNumberFormat="1" applyFont="1" applyBorder="1"/>
    <xf numFmtId="0" fontId="17" fillId="0" borderId="0" xfId="0" quotePrefix="1" applyFont="1" applyFill="1" applyBorder="1" applyProtection="1"/>
    <xf numFmtId="7" fontId="11" fillId="0" borderId="0" xfId="0" applyNumberFormat="1" applyFont="1" applyFill="1" applyBorder="1"/>
    <xf numFmtId="5" fontId="11" fillId="0" borderId="0" xfId="0" applyNumberFormat="1" applyFont="1" applyFill="1" applyBorder="1"/>
    <xf numFmtId="10" fontId="11" fillId="0" borderId="0" xfId="0" applyNumberFormat="1" applyFont="1" applyFill="1" applyBorder="1"/>
    <xf numFmtId="168" fontId="11" fillId="2" borderId="0" xfId="0" applyNumberFormat="1" applyFont="1" applyFill="1" applyBorder="1"/>
    <xf numFmtId="0" fontId="15" fillId="6" borderId="0" xfId="0" applyFont="1" applyFill="1" applyBorder="1"/>
    <xf numFmtId="0" fontId="16" fillId="6" borderId="0" xfId="0" applyFont="1" applyFill="1" applyBorder="1"/>
    <xf numFmtId="0" fontId="11" fillId="6" borderId="0" xfId="0" applyFont="1" applyFill="1" applyBorder="1"/>
    <xf numFmtId="0" fontId="16" fillId="0" borderId="0" xfId="0" applyFont="1" applyFill="1" applyBorder="1" applyAlignment="1">
      <alignment horizontal="right"/>
    </xf>
    <xf numFmtId="37" fontId="42" fillId="0" borderId="0" xfId="0" applyNumberFormat="1" applyFont="1" applyFill="1" applyBorder="1" applyAlignment="1" applyProtection="1">
      <alignment horizontal="right"/>
    </xf>
    <xf numFmtId="10" fontId="42" fillId="0" borderId="0" xfId="0" applyNumberFormat="1" applyFont="1" applyFill="1" applyBorder="1" applyProtection="1"/>
    <xf numFmtId="37" fontId="22" fillId="0" borderId="0" xfId="0" applyNumberFormat="1" applyFont="1" applyFill="1" applyBorder="1" applyProtection="1"/>
    <xf numFmtId="5" fontId="22" fillId="0" borderId="0" xfId="0" applyNumberFormat="1" applyFont="1" applyBorder="1" applyProtection="1"/>
    <xf numFmtId="37" fontId="22" fillId="0" borderId="0" xfId="0" applyNumberFormat="1" applyFont="1" applyFill="1" applyBorder="1" applyAlignment="1" applyProtection="1"/>
    <xf numFmtId="169" fontId="42" fillId="0" borderId="0" xfId="0" applyNumberFormat="1" applyFont="1" applyFill="1" applyBorder="1" applyProtection="1"/>
    <xf numFmtId="10" fontId="42" fillId="0" borderId="0" xfId="0" applyNumberFormat="1" applyFont="1" applyFill="1" applyBorder="1"/>
    <xf numFmtId="0" fontId="22" fillId="0" borderId="0" xfId="0" applyFont="1" applyBorder="1" applyAlignment="1" applyProtection="1">
      <alignment horizontal="right"/>
    </xf>
    <xf numFmtId="167" fontId="22" fillId="0" borderId="0" xfId="5" applyNumberFormat="1" applyFont="1" applyBorder="1" applyAlignment="1" applyProtection="1">
      <alignment horizontal="right"/>
    </xf>
    <xf numFmtId="167" fontId="18" fillId="0" borderId="0" xfId="5" applyNumberFormat="1" applyFont="1" applyBorder="1" applyAlignment="1">
      <alignment horizontal="right"/>
    </xf>
    <xf numFmtId="0" fontId="22" fillId="0" borderId="0" xfId="0" applyFont="1" applyBorder="1" applyAlignment="1" applyProtection="1">
      <alignment horizontal="center"/>
    </xf>
    <xf numFmtId="167" fontId="22" fillId="0" borderId="0" xfId="0" applyNumberFormat="1" applyFont="1" applyFill="1" applyBorder="1" applyProtection="1"/>
    <xf numFmtId="9" fontId="22" fillId="0" borderId="0" xfId="0" applyNumberFormat="1" applyFont="1" applyBorder="1" applyProtection="1"/>
    <xf numFmtId="43" fontId="16" fillId="0" borderId="0" xfId="1" applyFont="1" applyBorder="1"/>
    <xf numFmtId="0" fontId="37" fillId="0" borderId="0" xfId="0" applyFont="1" applyFill="1" applyBorder="1"/>
    <xf numFmtId="0" fontId="16" fillId="0" borderId="0" xfId="0" applyFont="1" applyFill="1"/>
    <xf numFmtId="170" fontId="16" fillId="0" borderId="0" xfId="0" applyNumberFormat="1" applyFont="1"/>
    <xf numFmtId="37" fontId="16" fillId="0" borderId="0" xfId="22" applyFont="1"/>
    <xf numFmtId="37" fontId="15" fillId="0" borderId="5" xfId="22" applyFont="1" applyFill="1" applyBorder="1"/>
    <xf numFmtId="3" fontId="16" fillId="0" borderId="5" xfId="22" applyNumberFormat="1" applyFont="1" applyFill="1" applyBorder="1"/>
    <xf numFmtId="3" fontId="16" fillId="0" borderId="5" xfId="20" applyNumberFormat="1" applyFont="1" applyFill="1" applyBorder="1"/>
    <xf numFmtId="3" fontId="16" fillId="0" borderId="2" xfId="20" applyNumberFormat="1" applyFont="1" applyFill="1" applyBorder="1"/>
    <xf numFmtId="37" fontId="16" fillId="0" borderId="0" xfId="22" applyFont="1" applyFill="1"/>
    <xf numFmtId="37" fontId="11" fillId="0" borderId="0" xfId="22" applyFont="1"/>
    <xf numFmtId="37" fontId="43" fillId="0" borderId="0" xfId="22" applyFont="1" applyAlignment="1">
      <alignment horizontal="right"/>
    </xf>
    <xf numFmtId="37" fontId="11" fillId="0" borderId="0" xfId="22" applyFont="1" applyBorder="1"/>
    <xf numFmtId="37" fontId="21" fillId="0" borderId="0" xfId="22" applyFont="1" applyBorder="1" applyAlignment="1">
      <alignment horizontal="right"/>
    </xf>
    <xf numFmtId="37" fontId="21" fillId="0" borderId="0" xfId="22" applyFont="1" applyBorder="1"/>
    <xf numFmtId="37" fontId="21" fillId="0" borderId="0" xfId="22" applyNumberFormat="1" applyFont="1" applyBorder="1" applyProtection="1"/>
    <xf numFmtId="37" fontId="44" fillId="0" borderId="0" xfId="22" applyFont="1" applyFill="1" applyBorder="1"/>
    <xf numFmtId="37" fontId="11" fillId="0" borderId="0" xfId="22" applyNumberFormat="1" applyFont="1" applyBorder="1" applyAlignment="1" applyProtection="1">
      <alignment horizontal="left" indent="1"/>
    </xf>
    <xf numFmtId="37" fontId="43" fillId="0" borderId="0" xfId="22" applyFont="1"/>
    <xf numFmtId="37" fontId="11" fillId="0" borderId="0" xfId="22" applyFont="1" applyAlignment="1">
      <alignment horizontal="left" indent="1"/>
    </xf>
    <xf numFmtId="9" fontId="11" fillId="5" borderId="4" xfId="22" applyNumberFormat="1" applyFont="1" applyFill="1" applyBorder="1"/>
    <xf numFmtId="3" fontId="16" fillId="0" borderId="0" xfId="20" applyNumberFormat="1" applyFont="1"/>
    <xf numFmtId="37" fontId="11" fillId="0" borderId="0" xfId="22" applyFont="1" applyFill="1" applyBorder="1"/>
    <xf numFmtId="9" fontId="11" fillId="0" borderId="0" xfId="22" applyNumberFormat="1" applyFont="1" applyFill="1" applyBorder="1"/>
    <xf numFmtId="37" fontId="45" fillId="0" borderId="0" xfId="22" applyFont="1"/>
    <xf numFmtId="166" fontId="11" fillId="0" borderId="0" xfId="22" applyNumberFormat="1" applyFont="1" applyFill="1" applyBorder="1"/>
    <xf numFmtId="3" fontId="16" fillId="0" borderId="0" xfId="22" applyNumberFormat="1" applyFont="1" applyFill="1"/>
    <xf numFmtId="173" fontId="16" fillId="0" borderId="0" xfId="1" applyNumberFormat="1" applyFont="1" applyFill="1"/>
    <xf numFmtId="3" fontId="16" fillId="0" borderId="0" xfId="20" applyNumberFormat="1" applyFont="1" applyFill="1"/>
    <xf numFmtId="3" fontId="16" fillId="0" borderId="0" xfId="22" applyNumberFormat="1" applyFont="1"/>
    <xf numFmtId="3" fontId="11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/>
    <xf numFmtId="10" fontId="22" fillId="0" borderId="0" xfId="0" applyNumberFormat="1" applyFont="1" applyFill="1" applyBorder="1" applyProtection="1"/>
    <xf numFmtId="5" fontId="22" fillId="0" borderId="0" xfId="0" applyNumberFormat="1" applyFont="1" applyFill="1" applyBorder="1" applyProtection="1"/>
    <xf numFmtId="5" fontId="23" fillId="0" borderId="0" xfId="0" applyNumberFormat="1" applyFont="1" applyFill="1" applyBorder="1" applyProtection="1"/>
    <xf numFmtId="37" fontId="23" fillId="0" borderId="0" xfId="0" applyNumberFormat="1" applyFont="1" applyFill="1" applyBorder="1" applyProtection="1"/>
    <xf numFmtId="41" fontId="22" fillId="0" borderId="0" xfId="0" applyNumberFormat="1" applyFont="1" applyFill="1" applyBorder="1" applyProtection="1"/>
    <xf numFmtId="0" fontId="19" fillId="2" borderId="3" xfId="0" applyFont="1" applyFill="1" applyBorder="1" applyAlignment="1">
      <alignment horizontal="right"/>
    </xf>
    <xf numFmtId="0" fontId="39" fillId="3" borderId="0" xfId="0" applyFont="1" applyFill="1" applyBorder="1" applyAlignment="1">
      <alignment horizontal="right"/>
    </xf>
    <xf numFmtId="0" fontId="37" fillId="2" borderId="3" xfId="0" applyFont="1" applyFill="1" applyBorder="1" applyAlignment="1">
      <alignment horizontal="right"/>
    </xf>
    <xf numFmtId="44" fontId="16" fillId="0" borderId="0" xfId="0" applyNumberFormat="1" applyFont="1" applyFill="1" applyBorder="1"/>
    <xf numFmtId="0" fontId="22" fillId="0" borderId="0" xfId="0" applyFont="1" applyFill="1" applyBorder="1" applyAlignment="1" applyProtection="1">
      <alignment horizontal="centerContinuous"/>
    </xf>
    <xf numFmtId="3" fontId="19" fillId="0" borderId="0" xfId="0" applyNumberFormat="1" applyFont="1" applyFill="1" applyBorder="1"/>
    <xf numFmtId="0" fontId="22" fillId="0" borderId="0" xfId="0" applyFont="1" applyFill="1" applyBorder="1" applyProtection="1"/>
    <xf numFmtId="0" fontId="23" fillId="0" borderId="0" xfId="0" applyFont="1" applyFill="1" applyBorder="1" applyAlignment="1" applyProtection="1">
      <alignment horizontal="right"/>
    </xf>
    <xf numFmtId="10" fontId="22" fillId="0" borderId="0" xfId="0" applyNumberFormat="1" applyFont="1" applyFill="1" applyBorder="1" applyAlignment="1" applyProtection="1">
      <alignment horizontal="left"/>
    </xf>
    <xf numFmtId="0" fontId="18" fillId="0" borderId="0" xfId="0" applyFont="1" applyBorder="1" applyAlignment="1">
      <alignment wrapText="1"/>
    </xf>
    <xf numFmtId="171" fontId="18" fillId="0" borderId="0" xfId="0" applyNumberFormat="1" applyFont="1" applyFill="1" applyBorder="1" applyAlignment="1">
      <alignment horizontal="center"/>
    </xf>
    <xf numFmtId="167" fontId="23" fillId="0" borderId="0" xfId="0" applyNumberFormat="1" applyFont="1" applyFill="1" applyBorder="1" applyProtection="1"/>
    <xf numFmtId="168" fontId="18" fillId="0" borderId="0" xfId="0" applyNumberFormat="1" applyFont="1" applyFill="1" applyBorder="1"/>
    <xf numFmtId="10" fontId="26" fillId="0" borderId="0" xfId="23" applyNumberFormat="1" applyFont="1" applyAlignment="1" applyProtection="1">
      <alignment horizontal="left" indent="1"/>
      <protection locked="0"/>
    </xf>
    <xf numFmtId="0" fontId="16" fillId="0" borderId="0" xfId="0" applyFont="1" applyBorder="1" applyAlignment="1">
      <alignment horizontal="right"/>
    </xf>
    <xf numFmtId="37" fontId="21" fillId="0" borderId="0" xfId="22" applyFont="1"/>
    <xf numFmtId="37" fontId="11" fillId="0" borderId="0" xfId="22" applyFont="1" applyBorder="1" applyAlignment="1">
      <alignment horizontal="left"/>
    </xf>
    <xf numFmtId="7" fontId="16" fillId="0" borderId="0" xfId="0" applyNumberFormat="1" applyFont="1" applyBorder="1"/>
    <xf numFmtId="168" fontId="16" fillId="0" borderId="0" xfId="0" applyNumberFormat="1" applyFont="1" applyFill="1" applyBorder="1"/>
    <xf numFmtId="6" fontId="22" fillId="0" borderId="0" xfId="0" applyNumberFormat="1" applyFont="1" applyBorder="1" applyProtection="1"/>
    <xf numFmtId="170" fontId="18" fillId="0" borderId="0" xfId="1" applyNumberFormat="1" applyFont="1" applyBorder="1"/>
    <xf numFmtId="0" fontId="42" fillId="0" borderId="0" xfId="0" applyFont="1" applyFill="1" applyBorder="1"/>
    <xf numFmtId="10" fontId="22" fillId="0" borderId="0" xfId="0" applyNumberFormat="1" applyFont="1" applyFill="1" applyBorder="1" applyAlignment="1" applyProtection="1">
      <alignment horizontal="right"/>
    </xf>
    <xf numFmtId="6" fontId="16" fillId="0" borderId="0" xfId="0" applyNumberFormat="1" applyFont="1"/>
    <xf numFmtId="0" fontId="46" fillId="0" borderId="0" xfId="0" applyFont="1" applyFill="1" applyBorder="1"/>
    <xf numFmtId="170" fontId="16" fillId="0" borderId="0" xfId="1" applyNumberFormat="1" applyFont="1"/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170" fontId="16" fillId="0" borderId="0" xfId="0" applyNumberFormat="1" applyFont="1" applyBorder="1"/>
    <xf numFmtId="168" fontId="16" fillId="0" borderId="0" xfId="0" applyNumberFormat="1" applyFont="1" applyBorder="1"/>
    <xf numFmtId="175" fontId="11" fillId="0" borderId="0" xfId="0" applyNumberFormat="1" applyFont="1" applyFill="1" applyBorder="1"/>
    <xf numFmtId="3" fontId="16" fillId="0" borderId="0" xfId="22" applyNumberFormat="1" applyFont="1" applyFill="1" applyBorder="1"/>
    <xf numFmtId="3" fontId="16" fillId="0" borderId="0" xfId="20" applyNumberFormat="1" applyFont="1" applyFill="1" applyBorder="1"/>
    <xf numFmtId="37" fontId="15" fillId="0" borderId="0" xfId="22" applyFont="1" applyFill="1" applyBorder="1"/>
    <xf numFmtId="37" fontId="16" fillId="8" borderId="0" xfId="22" applyFont="1" applyFill="1" applyAlignment="1">
      <alignment horizontal="center"/>
    </xf>
    <xf numFmtId="37" fontId="16" fillId="8" borderId="0" xfId="22" applyFont="1" applyFill="1" applyBorder="1" applyAlignment="1">
      <alignment horizontal="center"/>
    </xf>
    <xf numFmtId="37" fontId="16" fillId="0" borderId="0" xfId="22" applyFont="1" applyAlignment="1">
      <alignment horizontal="center"/>
    </xf>
    <xf numFmtId="37" fontId="15" fillId="0" borderId="0" xfId="22" applyFont="1" applyAlignment="1">
      <alignment horizontal="center"/>
    </xf>
    <xf numFmtId="37" fontId="15" fillId="2" borderId="0" xfId="22" applyFont="1" applyFill="1" applyAlignment="1">
      <alignment horizontal="right"/>
    </xf>
    <xf numFmtId="37" fontId="15" fillId="2" borderId="3" xfId="22" applyFont="1" applyFill="1" applyBorder="1" applyAlignment="1">
      <alignment horizontal="right"/>
    </xf>
    <xf numFmtId="5" fontId="16" fillId="8" borderId="0" xfId="5" applyNumberFormat="1" applyFont="1" applyFill="1" applyBorder="1" applyAlignment="1">
      <alignment horizontal="center"/>
    </xf>
    <xf numFmtId="0" fontId="15" fillId="2" borderId="0" xfId="0" applyFont="1" applyFill="1" applyBorder="1"/>
    <xf numFmtId="37" fontId="16" fillId="0" borderId="0" xfId="22" applyFont="1" applyBorder="1"/>
    <xf numFmtId="37" fontId="15" fillId="8" borderId="0" xfId="22" applyFont="1" applyFill="1" applyAlignment="1">
      <alignment horizontal="center"/>
    </xf>
    <xf numFmtId="37" fontId="15" fillId="8" borderId="0" xfId="22" applyFont="1" applyFill="1" applyBorder="1" applyAlignment="1">
      <alignment horizontal="center"/>
    </xf>
    <xf numFmtId="37" fontId="15" fillId="8" borderId="0" xfId="22" applyFont="1" applyFill="1" applyBorder="1" applyAlignment="1">
      <alignment horizontal="left"/>
    </xf>
    <xf numFmtId="3" fontId="15" fillId="2" borderId="0" xfId="20" applyNumberFormat="1" applyFont="1" applyFill="1"/>
    <xf numFmtId="5" fontId="15" fillId="2" borderId="0" xfId="22" applyNumberFormat="1" applyFont="1" applyFill="1"/>
    <xf numFmtId="0" fontId="15" fillId="2" borderId="3" xfId="0" applyFont="1" applyFill="1" applyBorder="1"/>
    <xf numFmtId="37" fontId="16" fillId="0" borderId="0" xfId="22" applyFont="1" applyFill="1" applyBorder="1"/>
    <xf numFmtId="0" fontId="39" fillId="0" borderId="0" xfId="0" applyFont="1" applyFill="1" applyBorder="1"/>
    <xf numFmtId="0" fontId="18" fillId="8" borderId="0" xfId="0" applyFont="1" applyFill="1" applyBorder="1"/>
    <xf numFmtId="0" fontId="18" fillId="8" borderId="0" xfId="0" applyFont="1" applyFill="1" applyBorder="1" applyAlignment="1">
      <alignment horizontal="right"/>
    </xf>
    <xf numFmtId="0" fontId="19" fillId="8" borderId="0" xfId="0" applyFont="1" applyFill="1" applyBorder="1"/>
    <xf numFmtId="0" fontId="16" fillId="8" borderId="0" xfId="0" applyFont="1" applyFill="1" applyBorder="1"/>
    <xf numFmtId="0" fontId="15" fillId="8" borderId="0" xfId="0" applyFont="1" applyFill="1" applyBorder="1"/>
    <xf numFmtId="41" fontId="15" fillId="8" borderId="0" xfId="0" applyNumberFormat="1" applyFont="1" applyFill="1" applyBorder="1"/>
    <xf numFmtId="4" fontId="16" fillId="0" borderId="0" xfId="0" applyNumberFormat="1" applyFont="1"/>
    <xf numFmtId="8" fontId="16" fillId="8" borderId="0" xfId="0" applyNumberFormat="1" applyFont="1" applyFill="1" applyBorder="1"/>
    <xf numFmtId="0" fontId="16" fillId="8" borderId="0" xfId="0" applyFont="1" applyFill="1"/>
    <xf numFmtId="0" fontId="39" fillId="8" borderId="0" xfId="0" applyFont="1" applyFill="1" applyBorder="1"/>
    <xf numFmtId="4" fontId="16" fillId="8" borderId="0" xfId="0" applyNumberFormat="1" applyFont="1" applyFill="1"/>
    <xf numFmtId="10" fontId="49" fillId="0" borderId="0" xfId="0" applyNumberFormat="1" applyFont="1" applyFill="1" applyBorder="1" applyProtection="1"/>
    <xf numFmtId="0" fontId="19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right"/>
    </xf>
    <xf numFmtId="169" fontId="15" fillId="2" borderId="0" xfId="0" applyNumberFormat="1" applyFont="1" applyFill="1" applyBorder="1"/>
    <xf numFmtId="0" fontId="14" fillId="0" borderId="8" xfId="0" applyFont="1" applyBorder="1" applyProtection="1"/>
    <xf numFmtId="0" fontId="14" fillId="0" borderId="8" xfId="0" applyFont="1" applyFill="1" applyBorder="1" applyProtection="1"/>
    <xf numFmtId="41" fontId="22" fillId="8" borderId="0" xfId="0" applyNumberFormat="1" applyFont="1" applyFill="1" applyBorder="1" applyProtection="1"/>
    <xf numFmtId="5" fontId="18" fillId="0" borderId="0" xfId="0" applyNumberFormat="1" applyFont="1" applyBorder="1"/>
    <xf numFmtId="0" fontId="39" fillId="3" borderId="13" xfId="0" applyFont="1" applyFill="1" applyBorder="1"/>
    <xf numFmtId="10" fontId="15" fillId="2" borderId="0" xfId="0" applyNumberFormat="1" applyFont="1" applyFill="1" applyBorder="1"/>
    <xf numFmtId="169" fontId="15" fillId="2" borderId="3" xfId="0" applyNumberFormat="1" applyFont="1" applyFill="1" applyBorder="1"/>
    <xf numFmtId="0" fontId="16" fillId="0" borderId="15" xfId="0" applyFont="1" applyBorder="1"/>
    <xf numFmtId="7" fontId="16" fillId="8" borderId="0" xfId="5" applyNumberFormat="1" applyFont="1" applyFill="1" applyBorder="1" applyAlignment="1">
      <alignment horizontal="center"/>
    </xf>
    <xf numFmtId="2" fontId="16" fillId="0" borderId="0" xfId="0" applyNumberFormat="1" applyFont="1"/>
    <xf numFmtId="167" fontId="22" fillId="0" borderId="0" xfId="5" applyNumberFormat="1" applyFont="1" applyBorder="1" applyAlignment="1" applyProtection="1">
      <alignment horizontal="left"/>
    </xf>
    <xf numFmtId="37" fontId="18" fillId="0" borderId="0" xfId="22" applyFont="1"/>
    <xf numFmtId="2" fontId="18" fillId="0" borderId="14" xfId="0" applyNumberFormat="1" applyFont="1" applyBorder="1"/>
    <xf numFmtId="0" fontId="22" fillId="0" borderId="15" xfId="0" applyFont="1" applyBorder="1" applyAlignment="1" applyProtection="1">
      <alignment horizontal="center"/>
    </xf>
    <xf numFmtId="167" fontId="22" fillId="0" borderId="15" xfId="0" applyNumberFormat="1" applyFont="1" applyBorder="1" applyProtection="1"/>
    <xf numFmtId="0" fontId="18" fillId="0" borderId="15" xfId="0" applyFont="1" applyBorder="1"/>
    <xf numFmtId="5" fontId="22" fillId="0" borderId="15" xfId="0" applyNumberFormat="1" applyFont="1" applyBorder="1" applyProtection="1"/>
    <xf numFmtId="7" fontId="22" fillId="0" borderId="15" xfId="0" applyNumberFormat="1" applyFont="1" applyBorder="1" applyProtection="1"/>
    <xf numFmtId="0" fontId="18" fillId="0" borderId="14" xfId="0" applyFont="1" applyBorder="1" applyAlignment="1">
      <alignment horizontal="right"/>
    </xf>
    <xf numFmtId="44" fontId="11" fillId="0" borderId="0" xfId="5" applyFont="1"/>
    <xf numFmtId="177" fontId="15" fillId="2" borderId="0" xfId="0" applyNumberFormat="1" applyFont="1" applyFill="1" applyBorder="1"/>
    <xf numFmtId="39" fontId="16" fillId="0" borderId="0" xfId="22" applyNumberFormat="1" applyFont="1"/>
    <xf numFmtId="169" fontId="39" fillId="3" borderId="0" xfId="125" applyNumberFormat="1" applyFont="1" applyFill="1" applyBorder="1"/>
    <xf numFmtId="37" fontId="16" fillId="0" borderId="14" xfId="22" applyFont="1" applyBorder="1"/>
    <xf numFmtId="37" fontId="16" fillId="8" borderId="14" xfId="22" applyFont="1" applyFill="1" applyBorder="1" applyAlignment="1">
      <alignment horizontal="center"/>
    </xf>
    <xf numFmtId="5" fontId="16" fillId="8" borderId="14" xfId="5" applyNumberFormat="1" applyFont="1" applyFill="1" applyBorder="1" applyAlignment="1">
      <alignment horizontal="center"/>
    </xf>
    <xf numFmtId="168" fontId="23" fillId="0" borderId="0" xfId="0" applyNumberFormat="1" applyFont="1" applyFill="1" applyBorder="1" applyProtection="1"/>
    <xf numFmtId="2" fontId="16" fillId="8" borderId="0" xfId="0" applyNumberFormat="1" applyFont="1" applyFill="1" applyBorder="1"/>
    <xf numFmtId="43" fontId="26" fillId="0" borderId="0" xfId="0" applyNumberFormat="1" applyFont="1" applyProtection="1">
      <protection locked="0"/>
    </xf>
    <xf numFmtId="5" fontId="22" fillId="0" borderId="15" xfId="0" applyNumberFormat="1" applyFont="1" applyFill="1" applyBorder="1" applyProtection="1"/>
    <xf numFmtId="37" fontId="18" fillId="0" borderId="0" xfId="0" applyNumberFormat="1" applyFont="1" applyFill="1" applyBorder="1" applyAlignment="1" applyProtection="1">
      <alignment horizontal="center"/>
    </xf>
    <xf numFmtId="37" fontId="19" fillId="0" borderId="18" xfId="0" applyNumberFormat="1" applyFont="1" applyFill="1" applyBorder="1" applyAlignment="1" applyProtection="1">
      <alignment horizontal="center"/>
    </xf>
    <xf numFmtId="37" fontId="23" fillId="0" borderId="18" xfId="0" applyNumberFormat="1" applyFont="1" applyFill="1" applyBorder="1" applyAlignment="1" applyProtection="1">
      <alignment horizontal="center"/>
    </xf>
    <xf numFmtId="0" fontId="22" fillId="0" borderId="0" xfId="0" applyFont="1" applyFill="1" applyBorder="1" applyAlignment="1" applyProtection="1">
      <alignment horizontal="center" wrapText="1"/>
    </xf>
    <xf numFmtId="37" fontId="18" fillId="0" borderId="0" xfId="0" applyNumberFormat="1" applyFont="1" applyBorder="1"/>
    <xf numFmtId="0" fontId="23" fillId="0" borderId="0" xfId="0" applyFont="1" applyFill="1" applyBorder="1" applyAlignment="1" applyProtection="1">
      <alignment horizontal="centerContinuous"/>
    </xf>
    <xf numFmtId="37" fontId="19" fillId="0" borderId="0" xfId="0" applyNumberFormat="1" applyFont="1" applyFill="1" applyBorder="1"/>
    <xf numFmtId="0" fontId="23" fillId="0" borderId="0" xfId="0" applyFont="1" applyFill="1" applyBorder="1" applyProtection="1"/>
    <xf numFmtId="0" fontId="19" fillId="0" borderId="0" xfId="0" applyFont="1" applyBorder="1" applyAlignment="1"/>
    <xf numFmtId="0" fontId="23" fillId="0" borderId="0" xfId="0" applyFont="1" applyFill="1" applyBorder="1" applyAlignment="1" applyProtection="1">
      <alignment horizontal="left"/>
    </xf>
    <xf numFmtId="0" fontId="16" fillId="0" borderId="6" xfId="0" applyFont="1" applyBorder="1"/>
    <xf numFmtId="0" fontId="18" fillId="0" borderId="6" xfId="0" applyFont="1" applyFill="1" applyBorder="1"/>
    <xf numFmtId="167" fontId="23" fillId="0" borderId="6" xfId="0" applyNumberFormat="1" applyFont="1" applyFill="1" applyBorder="1" applyProtection="1"/>
    <xf numFmtId="37" fontId="18" fillId="0" borderId="18" xfId="0" applyNumberFormat="1" applyFont="1" applyFill="1" applyBorder="1" applyAlignment="1" applyProtection="1"/>
    <xf numFmtId="37" fontId="18" fillId="0" borderId="18" xfId="0" applyNumberFormat="1" applyFont="1" applyBorder="1" applyAlignment="1"/>
    <xf numFmtId="37" fontId="18" fillId="0" borderId="0" xfId="0" applyNumberFormat="1" applyFont="1" applyFill="1" applyBorder="1" applyAlignment="1">
      <alignment horizontal="center"/>
    </xf>
    <xf numFmtId="5" fontId="17" fillId="0" borderId="0" xfId="0" applyNumberFormat="1" applyFont="1" applyFill="1" applyBorder="1" applyProtection="1"/>
    <xf numFmtId="37" fontId="41" fillId="5" borderId="0" xfId="0" applyNumberFormat="1" applyFont="1" applyFill="1" applyBorder="1" applyAlignment="1"/>
    <xf numFmtId="170" fontId="16" fillId="0" borderId="18" xfId="1" applyNumberFormat="1" applyFont="1" applyFill="1" applyBorder="1"/>
    <xf numFmtId="0" fontId="41" fillId="0" borderId="19" xfId="0" applyFont="1" applyBorder="1" applyAlignment="1">
      <alignment horizontal="right"/>
    </xf>
    <xf numFmtId="37" fontId="19" fillId="0" borderId="0" xfId="0" applyNumberFormat="1" applyFont="1" applyFill="1" applyBorder="1" applyAlignment="1" applyProtection="1">
      <alignment horizontal="center"/>
    </xf>
    <xf numFmtId="37" fontId="23" fillId="0" borderId="0" xfId="0" applyNumberFormat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 wrapText="1"/>
    </xf>
    <xf numFmtId="0" fontId="14" fillId="0" borderId="6" xfId="0" applyFont="1" applyFill="1" applyBorder="1" applyAlignment="1" applyProtection="1">
      <alignment horizontal="center"/>
    </xf>
    <xf numFmtId="5" fontId="23" fillId="0" borderId="18" xfId="0" applyNumberFormat="1" applyFont="1" applyFill="1" applyBorder="1" applyProtection="1"/>
    <xf numFmtId="5" fontId="50" fillId="0" borderId="18" xfId="0" applyNumberFormat="1" applyFont="1" applyFill="1" applyBorder="1" applyProtection="1"/>
    <xf numFmtId="39" fontId="36" fillId="0" borderId="23" xfId="0" applyNumberFormat="1" applyFont="1" applyBorder="1" applyProtection="1"/>
    <xf numFmtId="5" fontId="36" fillId="0" borderId="23" xfId="0" applyNumberFormat="1" applyFont="1" applyBorder="1" applyProtection="1"/>
    <xf numFmtId="0" fontId="18" fillId="0" borderId="0" xfId="0" applyFont="1" applyAlignment="1">
      <alignment horizontal="left" indent="1"/>
    </xf>
    <xf numFmtId="167" fontId="16" fillId="0" borderId="0" xfId="0" applyNumberFormat="1" applyFont="1" applyBorder="1"/>
    <xf numFmtId="3" fontId="21" fillId="0" borderId="18" xfId="0" applyNumberFormat="1" applyFont="1" applyBorder="1"/>
    <xf numFmtId="0" fontId="19" fillId="0" borderId="0" xfId="0" applyFont="1" applyFill="1" applyBorder="1"/>
    <xf numFmtId="37" fontId="46" fillId="0" borderId="0" xfId="0" applyNumberFormat="1" applyFont="1" applyFill="1" applyBorder="1"/>
    <xf numFmtId="37" fontId="49" fillId="0" borderId="0" xfId="0" applyNumberFormat="1" applyFont="1" applyFill="1" applyBorder="1" applyProtection="1"/>
    <xf numFmtId="0" fontId="34" fillId="4" borderId="17" xfId="0" applyFont="1" applyFill="1" applyBorder="1" applyProtection="1"/>
    <xf numFmtId="0" fontId="35" fillId="4" borderId="17" xfId="0" applyFont="1" applyFill="1" applyBorder="1" applyProtection="1"/>
    <xf numFmtId="0" fontId="34" fillId="4" borderId="17" xfId="0" applyFont="1" applyFill="1" applyBorder="1" applyAlignment="1" applyProtection="1">
      <alignment horizontal="right"/>
      <protection locked="0"/>
    </xf>
    <xf numFmtId="10" fontId="34" fillId="4" borderId="17" xfId="0" applyNumberFormat="1" applyFont="1" applyFill="1" applyBorder="1" applyAlignment="1" applyProtection="1">
      <alignment horizontal="right"/>
    </xf>
    <xf numFmtId="0" fontId="22" fillId="0" borderId="0" xfId="0" applyFont="1" applyBorder="1" applyAlignment="1" applyProtection="1">
      <alignment horizontal="left" indent="1"/>
    </xf>
    <xf numFmtId="41" fontId="18" fillId="0" borderId="0" xfId="5" applyNumberFormat="1" applyFont="1" applyFill="1" applyBorder="1" applyAlignment="1"/>
    <xf numFmtId="41" fontId="35" fillId="4" borderId="17" xfId="0" applyNumberFormat="1" applyFont="1" applyFill="1" applyBorder="1" applyProtection="1"/>
    <xf numFmtId="10" fontId="22" fillId="0" borderId="0" xfId="0" applyNumberFormat="1" applyFont="1" applyBorder="1" applyAlignment="1" applyProtection="1">
      <alignment horizontal="left" indent="1"/>
    </xf>
    <xf numFmtId="0" fontId="18" fillId="0" borderId="0" xfId="0" applyFont="1" applyBorder="1" applyAlignment="1" applyProtection="1">
      <protection locked="0"/>
    </xf>
    <xf numFmtId="0" fontId="22" fillId="0" borderId="0" xfId="0" applyFont="1" applyBorder="1" applyAlignment="1" applyProtection="1">
      <alignment horizontal="left" vertical="center" indent="1"/>
    </xf>
    <xf numFmtId="37" fontId="18" fillId="0" borderId="0" xfId="0" applyNumberFormat="1" applyFont="1" applyFill="1" applyBorder="1"/>
    <xf numFmtId="10" fontId="54" fillId="0" borderId="0" xfId="0" applyNumberFormat="1" applyFont="1" applyBorder="1" applyAlignment="1" applyProtection="1"/>
    <xf numFmtId="37" fontId="18" fillId="0" borderId="2" xfId="0" applyNumberFormat="1" applyFont="1" applyBorder="1"/>
    <xf numFmtId="5" fontId="41" fillId="0" borderId="0" xfId="0" applyNumberFormat="1" applyFont="1" applyFill="1" applyBorder="1"/>
    <xf numFmtId="0" fontId="11" fillId="0" borderId="6" xfId="0" applyFont="1" applyFill="1" applyBorder="1"/>
    <xf numFmtId="178" fontId="54" fillId="0" borderId="0" xfId="0" applyNumberFormat="1" applyFont="1" applyFill="1" applyBorder="1" applyAlignment="1" applyProtection="1"/>
    <xf numFmtId="166" fontId="22" fillId="0" borderId="0" xfId="0" applyNumberFormat="1" applyFont="1" applyBorder="1" applyAlignment="1" applyProtection="1"/>
    <xf numFmtId="166" fontId="23" fillId="0" borderId="0" xfId="0" applyNumberFormat="1" applyFont="1" applyBorder="1" applyAlignment="1" applyProtection="1"/>
    <xf numFmtId="166" fontId="34" fillId="4" borderId="17" xfId="0" applyNumberFormat="1" applyFont="1" applyFill="1" applyBorder="1" applyAlignment="1" applyProtection="1">
      <alignment horizontal="right"/>
    </xf>
    <xf numFmtId="0" fontId="14" fillId="0" borderId="8" xfId="0" applyFont="1" applyBorder="1" applyAlignment="1" applyProtection="1">
      <alignment horizontal="left" indent="1"/>
    </xf>
    <xf numFmtId="0" fontId="21" fillId="0" borderId="27" xfId="0" applyFont="1" applyBorder="1" applyAlignment="1" applyProtection="1">
      <alignment horizontal="left"/>
    </xf>
    <xf numFmtId="0" fontId="21" fillId="8" borderId="8" xfId="0" applyFont="1" applyFill="1" applyBorder="1" applyProtection="1"/>
    <xf numFmtId="0" fontId="50" fillId="8" borderId="8" xfId="0" applyFont="1" applyFill="1" applyBorder="1" applyProtection="1"/>
    <xf numFmtId="0" fontId="14" fillId="0" borderId="0" xfId="0" applyFont="1" applyBorder="1" applyAlignment="1" applyProtection="1">
      <alignment horizontal="left" indent="1"/>
    </xf>
    <xf numFmtId="0" fontId="21" fillId="0" borderId="8" xfId="0" applyFont="1" applyBorder="1" applyProtection="1"/>
    <xf numFmtId="0" fontId="14" fillId="0" borderId="0" xfId="0" applyFont="1" applyFill="1" applyBorder="1" applyAlignment="1" applyProtection="1">
      <alignment horizontal="left" indent="1"/>
    </xf>
    <xf numFmtId="0" fontId="14" fillId="0" borderId="8" xfId="0" applyFont="1" applyFill="1" applyBorder="1" applyAlignment="1" applyProtection="1">
      <alignment horizontal="left" indent="1"/>
    </xf>
    <xf numFmtId="0" fontId="11" fillId="0" borderId="8" xfId="0" applyFont="1" applyBorder="1"/>
    <xf numFmtId="0" fontId="21" fillId="0" borderId="8" xfId="0" applyFont="1" applyFill="1" applyBorder="1" applyProtection="1"/>
    <xf numFmtId="0" fontId="21" fillId="0" borderId="27" xfId="0" applyFont="1" applyFill="1" applyBorder="1" applyAlignment="1" applyProtection="1">
      <alignment horizontal="left"/>
    </xf>
    <xf numFmtId="1" fontId="26" fillId="0" borderId="9" xfId="23" applyNumberFormat="1" applyFont="1" applyFill="1" applyBorder="1"/>
    <xf numFmtId="0" fontId="31" fillId="0" borderId="8" xfId="0" applyFont="1" applyFill="1" applyBorder="1" applyProtection="1"/>
    <xf numFmtId="0" fontId="31" fillId="0" borderId="28" xfId="0" applyFont="1" applyBorder="1" applyProtection="1"/>
    <xf numFmtId="37" fontId="23" fillId="0" borderId="18" xfId="0" applyNumberFormat="1" applyFont="1" applyBorder="1" applyProtection="1"/>
    <xf numFmtId="0" fontId="16" fillId="0" borderId="18" xfId="0" applyFont="1" applyFill="1" applyBorder="1" applyAlignment="1">
      <alignment horizontal="center" vertical="center" wrapText="1"/>
    </xf>
    <xf numFmtId="37" fontId="22" fillId="0" borderId="0" xfId="0" applyNumberFormat="1" applyFont="1" applyBorder="1" applyAlignment="1" applyProtection="1">
      <alignment horizontal="left" indent="1"/>
    </xf>
    <xf numFmtId="37" fontId="22" fillId="0" borderId="8" xfId="0" applyNumberFormat="1" applyFont="1" applyBorder="1" applyAlignment="1" applyProtection="1">
      <alignment horizontal="left" indent="2"/>
    </xf>
    <xf numFmtId="0" fontId="36" fillId="0" borderId="23" xfId="0" applyFont="1" applyBorder="1" applyAlignment="1" applyProtection="1">
      <alignment horizontal="left" indent="1"/>
    </xf>
    <xf numFmtId="37" fontId="22" fillId="0" borderId="0" xfId="0" applyNumberFormat="1" applyFont="1" applyFill="1" applyBorder="1" applyAlignment="1" applyProtection="1">
      <alignment horizontal="left" indent="1"/>
    </xf>
    <xf numFmtId="5" fontId="23" fillId="0" borderId="0" xfId="0" applyNumberFormat="1" applyFont="1" applyBorder="1" applyAlignment="1" applyProtection="1">
      <alignment horizontal="right"/>
    </xf>
    <xf numFmtId="37" fontId="23" fillId="0" borderId="18" xfId="0" applyNumberFormat="1" applyFont="1" applyFill="1" applyBorder="1" applyAlignment="1" applyProtection="1">
      <alignment horizontal="left" indent="1"/>
    </xf>
    <xf numFmtId="0" fontId="18" fillId="0" borderId="21" xfId="0" applyFont="1" applyBorder="1"/>
    <xf numFmtId="37" fontId="22" fillId="0" borderId="8" xfId="0" applyNumberFormat="1" applyFont="1" applyBorder="1" applyProtection="1"/>
    <xf numFmtId="174" fontId="18" fillId="0" borderId="0" xfId="0" applyNumberFormat="1" applyFont="1" applyBorder="1"/>
    <xf numFmtId="0" fontId="18" fillId="0" borderId="14" xfId="0" applyFont="1" applyBorder="1"/>
    <xf numFmtId="5" fontId="17" fillId="0" borderId="8" xfId="0" applyNumberFormat="1" applyFont="1" applyBorder="1" applyProtection="1"/>
    <xf numFmtId="37" fontId="17" fillId="0" borderId="26" xfId="0" applyNumberFormat="1" applyFont="1" applyBorder="1" applyProtection="1"/>
    <xf numFmtId="5" fontId="17" fillId="0" borderId="27" xfId="0" applyNumberFormat="1" applyFont="1" applyBorder="1" applyProtection="1"/>
    <xf numFmtId="37" fontId="17" fillId="0" borderId="1" xfId="0" applyNumberFormat="1" applyFont="1" applyBorder="1" applyProtection="1"/>
    <xf numFmtId="0" fontId="17" fillId="0" borderId="8" xfId="0" applyFont="1" applyBorder="1" applyProtection="1"/>
    <xf numFmtId="37" fontId="58" fillId="0" borderId="1" xfId="0" applyNumberFormat="1" applyFont="1" applyBorder="1" applyProtection="1"/>
    <xf numFmtId="0" fontId="58" fillId="0" borderId="8" xfId="0" applyFont="1" applyBorder="1" applyProtection="1"/>
    <xf numFmtId="37" fontId="41" fillId="0" borderId="0" xfId="0" applyNumberFormat="1" applyFont="1" applyBorder="1"/>
    <xf numFmtId="10" fontId="17" fillId="0" borderId="8" xfId="0" applyNumberFormat="1" applyFont="1" applyBorder="1" applyProtection="1"/>
    <xf numFmtId="37" fontId="59" fillId="0" borderId="26" xfId="0" applyNumberFormat="1" applyFont="1" applyBorder="1" applyProtection="1"/>
    <xf numFmtId="5" fontId="59" fillId="0" borderId="27" xfId="0" applyNumberFormat="1" applyFont="1" applyBorder="1" applyProtection="1"/>
    <xf numFmtId="171" fontId="17" fillId="0" borderId="1" xfId="0" applyNumberFormat="1" applyFont="1" applyBorder="1" applyProtection="1"/>
    <xf numFmtId="0" fontId="58" fillId="0" borderId="1" xfId="0" applyFont="1" applyBorder="1" applyProtection="1"/>
    <xf numFmtId="44" fontId="58" fillId="0" borderId="0" xfId="0" applyNumberFormat="1" applyFont="1" applyBorder="1" applyProtection="1"/>
    <xf numFmtId="0" fontId="17" fillId="0" borderId="1" xfId="0" applyFont="1" applyBorder="1" applyProtection="1"/>
    <xf numFmtId="10" fontId="41" fillId="0" borderId="10" xfId="23" applyNumberFormat="1" applyFont="1" applyFill="1" applyBorder="1"/>
    <xf numFmtId="3" fontId="17" fillId="0" borderId="8" xfId="0" applyNumberFormat="1" applyFont="1" applyBorder="1" applyProtection="1"/>
    <xf numFmtId="0" fontId="57" fillId="0" borderId="26" xfId="0" applyFont="1" applyBorder="1" applyProtection="1"/>
    <xf numFmtId="0" fontId="57" fillId="0" borderId="27" xfId="0" applyFont="1" applyBorder="1" applyProtection="1"/>
    <xf numFmtId="0" fontId="57" fillId="0" borderId="1" xfId="0" applyFont="1" applyBorder="1" applyProtection="1"/>
    <xf numFmtId="2" fontId="17" fillId="0" borderId="1" xfId="0" applyNumberFormat="1" applyFont="1" applyBorder="1" applyProtection="1"/>
    <xf numFmtId="0" fontId="17" fillId="0" borderId="24" xfId="0" applyFont="1" applyBorder="1" applyProtection="1"/>
    <xf numFmtId="170" fontId="17" fillId="8" borderId="1" xfId="1" applyNumberFormat="1" applyFont="1" applyFill="1" applyBorder="1" applyProtection="1"/>
    <xf numFmtId="170" fontId="17" fillId="8" borderId="8" xfId="1" applyNumberFormat="1" applyFont="1" applyFill="1" applyBorder="1" applyProtection="1"/>
    <xf numFmtId="0" fontId="55" fillId="0" borderId="18" xfId="0" applyFont="1" applyBorder="1" applyAlignment="1">
      <alignment horizontal="right"/>
    </xf>
    <xf numFmtId="0" fontId="55" fillId="0" borderId="27" xfId="0" applyFont="1" applyBorder="1" applyAlignment="1">
      <alignment horizontal="right"/>
    </xf>
    <xf numFmtId="0" fontId="17" fillId="0" borderId="10" xfId="0" applyFont="1" applyBorder="1" applyProtection="1"/>
    <xf numFmtId="0" fontId="17" fillId="0" borderId="26" xfId="0" applyFont="1" applyBorder="1" applyProtection="1"/>
    <xf numFmtId="0" fontId="17" fillId="0" borderId="27" xfId="0" applyFont="1" applyBorder="1" applyProtection="1"/>
    <xf numFmtId="43" fontId="59" fillId="0" borderId="1" xfId="0" applyNumberFormat="1" applyFont="1" applyBorder="1" applyProtection="1"/>
    <xf numFmtId="5" fontId="59" fillId="0" borderId="8" xfId="0" applyNumberFormat="1" applyFont="1" applyBorder="1" applyProtection="1"/>
    <xf numFmtId="168" fontId="17" fillId="0" borderId="11" xfId="0" applyNumberFormat="1" applyFont="1" applyBorder="1" applyProtection="1"/>
    <xf numFmtId="0" fontId="17" fillId="0" borderId="12" xfId="0" applyFont="1" applyBorder="1" applyProtection="1"/>
    <xf numFmtId="0" fontId="21" fillId="0" borderId="14" xfId="0" applyFont="1" applyBorder="1" applyProtection="1"/>
    <xf numFmtId="0" fontId="40" fillId="0" borderId="14" xfId="0" applyFont="1" applyBorder="1" applyProtection="1"/>
    <xf numFmtId="37" fontId="11" fillId="0" borderId="18" xfId="22" applyFont="1" applyBorder="1"/>
    <xf numFmtId="9" fontId="11" fillId="5" borderId="29" xfId="22" applyNumberFormat="1" applyFont="1" applyFill="1" applyBorder="1"/>
    <xf numFmtId="164" fontId="22" fillId="0" borderId="0" xfId="0" applyNumberFormat="1" applyFont="1" applyBorder="1" applyProtection="1"/>
    <xf numFmtId="170" fontId="17" fillId="0" borderId="8" xfId="1" applyNumberFormat="1" applyFont="1" applyFill="1" applyBorder="1" applyProtection="1"/>
    <xf numFmtId="3" fontId="17" fillId="0" borderId="8" xfId="0" applyNumberFormat="1" applyFont="1" applyFill="1" applyBorder="1" applyProtection="1"/>
    <xf numFmtId="0" fontId="17" fillId="0" borderId="1" xfId="0" applyFont="1" applyFill="1" applyBorder="1" applyProtection="1"/>
    <xf numFmtId="0" fontId="17" fillId="0" borderId="8" xfId="0" applyFont="1" applyFill="1" applyBorder="1" applyProtection="1"/>
    <xf numFmtId="176" fontId="17" fillId="0" borderId="1" xfId="23" applyNumberFormat="1" applyFont="1" applyFill="1" applyBorder="1" applyProtection="1"/>
    <xf numFmtId="10" fontId="17" fillId="0" borderId="1" xfId="23" applyNumberFormat="1" applyFont="1" applyFill="1" applyBorder="1" applyProtection="1"/>
    <xf numFmtId="0" fontId="58" fillId="0" borderId="1" xfId="0" applyFont="1" applyFill="1" applyBorder="1" applyProtection="1"/>
    <xf numFmtId="0" fontId="31" fillId="0" borderId="0" xfId="0" applyFont="1" applyFill="1" applyBorder="1" applyAlignment="1" applyProtection="1">
      <alignment horizontal="left"/>
    </xf>
    <xf numFmtId="37" fontId="23" fillId="0" borderId="0" xfId="0" applyNumberFormat="1" applyFont="1" applyBorder="1" applyAlignment="1" applyProtection="1">
      <alignment horizontal="left" indent="1"/>
    </xf>
    <xf numFmtId="39" fontId="22" fillId="0" borderId="0" xfId="0" applyNumberFormat="1" applyFont="1" applyBorder="1" applyAlignment="1" applyProtection="1">
      <alignment horizontal="left"/>
    </xf>
    <xf numFmtId="10" fontId="16" fillId="0" borderId="0" xfId="0" applyNumberFormat="1" applyFont="1"/>
    <xf numFmtId="7" fontId="16" fillId="0" borderId="0" xfId="0" applyNumberFormat="1" applyFont="1"/>
    <xf numFmtId="0" fontId="16" fillId="2" borderId="0" xfId="0" applyFont="1" applyFill="1"/>
    <xf numFmtId="1" fontId="11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/>
    </xf>
    <xf numFmtId="3" fontId="32" fillId="4" borderId="30" xfId="0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170" fontId="11" fillId="0" borderId="0" xfId="1" applyNumberFormat="1" applyFont="1" applyBorder="1"/>
    <xf numFmtId="3" fontId="21" fillId="0" borderId="0" xfId="0" applyNumberFormat="1" applyFont="1" applyBorder="1"/>
    <xf numFmtId="41" fontId="21" fillId="0" borderId="30" xfId="0" applyNumberFormat="1" applyFont="1" applyBorder="1" applyAlignment="1" applyProtection="1">
      <alignment horizontal="center" wrapText="1"/>
    </xf>
    <xf numFmtId="41" fontId="61" fillId="0" borderId="0" xfId="0" applyNumberFormat="1" applyFont="1" applyAlignment="1">
      <alignment horizontal="center"/>
    </xf>
    <xf numFmtId="0" fontId="18" fillId="0" borderId="36" xfId="0" applyFont="1" applyBorder="1" applyAlignment="1">
      <alignment horizontal="left"/>
    </xf>
    <xf numFmtId="0" fontId="27" fillId="0" borderId="36" xfId="0" applyFont="1" applyBorder="1" applyAlignment="1">
      <alignment horizontal="center"/>
    </xf>
    <xf numFmtId="3" fontId="11" fillId="0" borderId="43" xfId="0" applyNumberFormat="1" applyFont="1" applyFill="1" applyBorder="1"/>
    <xf numFmtId="0" fontId="18" fillId="0" borderId="40" xfId="0" applyFont="1" applyFill="1" applyBorder="1" applyAlignment="1">
      <alignment horizontal="left"/>
    </xf>
    <xf numFmtId="168" fontId="18" fillId="0" borderId="0" xfId="0" applyNumberFormat="1" applyFont="1" applyFill="1"/>
    <xf numFmtId="0" fontId="15" fillId="0" borderId="0" xfId="0" applyFont="1" applyFill="1"/>
    <xf numFmtId="0" fontId="27" fillId="0" borderId="36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3" fontId="21" fillId="0" borderId="0" xfId="0" applyNumberFormat="1" applyFont="1" applyFill="1" applyAlignment="1">
      <alignment horizontal="center"/>
    </xf>
    <xf numFmtId="41" fontId="61" fillId="0" borderId="0" xfId="0" applyNumberFormat="1" applyFont="1" applyFill="1" applyAlignment="1">
      <alignment horizontal="center"/>
    </xf>
    <xf numFmtId="41" fontId="11" fillId="0" borderId="38" xfId="0" applyNumberFormat="1" applyFont="1" applyFill="1" applyBorder="1" applyAlignment="1">
      <alignment horizontal="center"/>
    </xf>
    <xf numFmtId="42" fontId="62" fillId="0" borderId="0" xfId="0" applyNumberFormat="1" applyFont="1" applyAlignment="1">
      <alignment horizontal="center"/>
    </xf>
    <xf numFmtId="37" fontId="16" fillId="0" borderId="30" xfId="22" applyFont="1" applyBorder="1"/>
    <xf numFmtId="37" fontId="16" fillId="8" borderId="30" xfId="22" applyFont="1" applyFill="1" applyBorder="1" applyAlignment="1">
      <alignment horizontal="center"/>
    </xf>
    <xf numFmtId="5" fontId="16" fillId="8" borderId="30" xfId="5" applyNumberFormat="1" applyFont="1" applyFill="1" applyBorder="1" applyAlignment="1">
      <alignment horizontal="center"/>
    </xf>
    <xf numFmtId="3" fontId="32" fillId="4" borderId="34" xfId="0" applyNumberFormat="1" applyFont="1" applyFill="1" applyBorder="1" applyAlignment="1">
      <alignment horizontal="center"/>
    </xf>
    <xf numFmtId="0" fontId="23" fillId="0" borderId="47" xfId="0" applyFont="1" applyBorder="1" applyProtection="1"/>
    <xf numFmtId="42" fontId="19" fillId="0" borderId="47" xfId="0" applyNumberFormat="1" applyFont="1" applyBorder="1" applyAlignment="1" applyProtection="1">
      <protection locked="0"/>
    </xf>
    <xf numFmtId="166" fontId="23" fillId="0" borderId="47" xfId="0" applyNumberFormat="1" applyFont="1" applyBorder="1" applyAlignment="1" applyProtection="1"/>
    <xf numFmtId="0" fontId="14" fillId="0" borderId="0" xfId="0" applyFont="1" applyFill="1" applyBorder="1" applyAlignment="1" applyProtection="1">
      <alignment horizontal="centerContinuous"/>
    </xf>
    <xf numFmtId="6" fontId="16" fillId="0" borderId="0" xfId="0" applyNumberFormat="1" applyFont="1" applyBorder="1"/>
    <xf numFmtId="9" fontId="16" fillId="0" borderId="0" xfId="0" applyNumberFormat="1" applyFont="1" applyBorder="1"/>
    <xf numFmtId="0" fontId="19" fillId="0" borderId="0" xfId="0" applyFont="1" applyFill="1" applyBorder="1" applyAlignment="1">
      <alignment horizontal="left" indent="1"/>
    </xf>
    <xf numFmtId="0" fontId="23" fillId="0" borderId="0" xfId="0" applyFont="1" applyFill="1" applyBorder="1" applyAlignment="1" applyProtection="1">
      <alignment horizontal="left" indent="1"/>
    </xf>
    <xf numFmtId="168" fontId="16" fillId="0" borderId="0" xfId="5" applyNumberFormat="1" applyFont="1"/>
    <xf numFmtId="166" fontId="11" fillId="7" borderId="41" xfId="23" applyNumberFormat="1" applyFont="1" applyFill="1" applyBorder="1" applyAlignment="1">
      <alignment horizontal="center"/>
    </xf>
    <xf numFmtId="37" fontId="18" fillId="0" borderId="0" xfId="0" applyNumberFormat="1" applyFont="1" applyBorder="1" applyAlignment="1"/>
    <xf numFmtId="3" fontId="41" fillId="0" borderId="56" xfId="0" applyNumberFormat="1" applyFont="1" applyFill="1" applyBorder="1" applyAlignment="1">
      <alignment horizontal="right" wrapText="1"/>
    </xf>
    <xf numFmtId="3" fontId="41" fillId="0" borderId="35" xfId="0" applyNumberFormat="1" applyFont="1" applyFill="1" applyBorder="1" applyAlignment="1">
      <alignment horizontal="right" wrapText="1"/>
    </xf>
    <xf numFmtId="168" fontId="23" fillId="0" borderId="0" xfId="0" applyNumberFormat="1" applyFont="1" applyFill="1" applyBorder="1" applyAlignment="1" applyProtection="1">
      <alignment horizontal="center"/>
    </xf>
    <xf numFmtId="0" fontId="14" fillId="0" borderId="62" xfId="0" applyFont="1" applyFill="1" applyBorder="1" applyAlignment="1" applyProtection="1">
      <alignment horizontal="center" wrapText="1"/>
    </xf>
    <xf numFmtId="37" fontId="14" fillId="0" borderId="34" xfId="0" applyNumberFormat="1" applyFont="1" applyFill="1" applyBorder="1" applyAlignment="1" applyProtection="1">
      <alignment horizontal="right" wrapText="1"/>
    </xf>
    <xf numFmtId="37" fontId="14" fillId="0" borderId="54" xfId="0" applyNumberFormat="1" applyFont="1" applyFill="1" applyBorder="1" applyAlignment="1" applyProtection="1">
      <alignment horizontal="center" wrapText="1"/>
    </xf>
    <xf numFmtId="0" fontId="14" fillId="0" borderId="35" xfId="0" applyFont="1" applyFill="1" applyBorder="1" applyAlignment="1" applyProtection="1">
      <alignment horizontal="center" wrapText="1"/>
    </xf>
    <xf numFmtId="0" fontId="55" fillId="0" borderId="61" xfId="0" applyFont="1" applyFill="1" applyBorder="1" applyAlignment="1">
      <alignment horizontal="center"/>
    </xf>
    <xf numFmtId="0" fontId="34" fillId="0" borderId="0" xfId="0" applyFont="1" applyFill="1" applyBorder="1" applyProtection="1"/>
    <xf numFmtId="0" fontId="34" fillId="0" borderId="59" xfId="0" applyFont="1" applyFill="1" applyBorder="1" applyProtection="1"/>
    <xf numFmtId="0" fontId="35" fillId="0" borderId="59" xfId="0" applyFont="1" applyFill="1" applyBorder="1" applyProtection="1"/>
    <xf numFmtId="0" fontId="34" fillId="0" borderId="59" xfId="0" applyFont="1" applyFill="1" applyBorder="1" applyAlignment="1" applyProtection="1">
      <alignment horizontal="right"/>
      <protection locked="0"/>
    </xf>
    <xf numFmtId="0" fontId="17" fillId="0" borderId="0" xfId="0" applyFont="1" applyFill="1" applyBorder="1" applyAlignment="1" applyProtection="1">
      <alignment horizontal="right" wrapText="1"/>
    </xf>
    <xf numFmtId="0" fontId="41" fillId="0" borderId="0" xfId="0" applyFont="1" applyFill="1" applyBorder="1" applyAlignment="1">
      <alignment horizontal="right" wrapText="1"/>
    </xf>
    <xf numFmtId="168" fontId="34" fillId="4" borderId="17" xfId="0" applyNumberFormat="1" applyFont="1" applyFill="1" applyBorder="1" applyAlignment="1" applyProtection="1">
      <alignment horizontal="right"/>
      <protection locked="0"/>
    </xf>
    <xf numFmtId="0" fontId="35" fillId="0" borderId="0" xfId="0" applyFont="1" applyFill="1" applyBorder="1" applyProtection="1"/>
    <xf numFmtId="0" fontId="34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right"/>
    </xf>
    <xf numFmtId="37" fontId="18" fillId="0" borderId="59" xfId="0" applyNumberFormat="1" applyFont="1" applyFill="1" applyBorder="1" applyAlignment="1" applyProtection="1"/>
    <xf numFmtId="0" fontId="41" fillId="0" borderId="0" xfId="0" applyFont="1" applyBorder="1" applyAlignment="1">
      <alignment horizontal="right"/>
    </xf>
    <xf numFmtId="37" fontId="18" fillId="0" borderId="61" xfId="0" applyNumberFormat="1" applyFont="1" applyFill="1" applyBorder="1" applyAlignment="1">
      <alignment horizontal="center"/>
    </xf>
    <xf numFmtId="37" fontId="18" fillId="0" borderId="32" xfId="0" applyNumberFormat="1" applyFont="1" applyFill="1" applyBorder="1" applyAlignment="1">
      <alignment horizontal="center"/>
    </xf>
    <xf numFmtId="37" fontId="19" fillId="0" borderId="61" xfId="0" applyNumberFormat="1" applyFont="1" applyFill="1" applyBorder="1" applyAlignment="1" applyProtection="1">
      <alignment horizontal="center"/>
    </xf>
    <xf numFmtId="0" fontId="41" fillId="0" borderId="34" xfId="0" applyFont="1" applyBorder="1" applyAlignment="1">
      <alignment horizontal="right"/>
    </xf>
    <xf numFmtId="37" fontId="18" fillId="0" borderId="57" xfId="0" applyNumberFormat="1" applyFont="1" applyFill="1" applyBorder="1" applyAlignment="1" applyProtection="1">
      <alignment horizontal="center"/>
    </xf>
    <xf numFmtId="37" fontId="18" fillId="0" borderId="55" xfId="0" applyNumberFormat="1" applyFont="1" applyFill="1" applyBorder="1" applyAlignment="1" applyProtection="1">
      <alignment horizontal="center"/>
    </xf>
    <xf numFmtId="37" fontId="19" fillId="0" borderId="57" xfId="0" applyNumberFormat="1" applyFont="1" applyFill="1" applyBorder="1" applyAlignment="1" applyProtection="1">
      <alignment horizontal="center"/>
    </xf>
    <xf numFmtId="37" fontId="18" fillId="0" borderId="35" xfId="0" applyNumberFormat="1" applyFont="1" applyFill="1" applyBorder="1" applyAlignment="1" applyProtection="1">
      <alignment horizontal="center"/>
    </xf>
    <xf numFmtId="37" fontId="17" fillId="10" borderId="44" xfId="0" applyNumberFormat="1" applyFont="1" applyFill="1" applyBorder="1" applyProtection="1"/>
    <xf numFmtId="10" fontId="41" fillId="10" borderId="44" xfId="23" applyNumberFormat="1" applyFont="1" applyFill="1" applyBorder="1"/>
    <xf numFmtId="169" fontId="41" fillId="10" borderId="44" xfId="23" applyNumberFormat="1" applyFont="1" applyFill="1" applyBorder="1"/>
    <xf numFmtId="37" fontId="41" fillId="10" borderId="44" xfId="23" applyNumberFormat="1" applyFont="1" applyFill="1" applyBorder="1"/>
    <xf numFmtId="166" fontId="41" fillId="10" borderId="44" xfId="23" applyNumberFormat="1" applyFont="1" applyFill="1" applyBorder="1"/>
    <xf numFmtId="0" fontId="19" fillId="0" borderId="39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27" fillId="0" borderId="42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left"/>
    </xf>
    <xf numFmtId="0" fontId="19" fillId="0" borderId="40" xfId="0" applyFont="1" applyFill="1" applyBorder="1" applyAlignment="1">
      <alignment horizontal="left"/>
    </xf>
    <xf numFmtId="0" fontId="18" fillId="0" borderId="40" xfId="0" applyFont="1" applyFill="1" applyBorder="1" applyAlignment="1">
      <alignment horizontal="left" indent="1"/>
    </xf>
    <xf numFmtId="178" fontId="54" fillId="10" borderId="44" xfId="0" applyNumberFormat="1" applyFont="1" applyFill="1" applyBorder="1" applyAlignment="1" applyProtection="1"/>
    <xf numFmtId="37" fontId="18" fillId="10" borderId="44" xfId="0" applyNumberFormat="1" applyFont="1" applyFill="1" applyBorder="1" applyAlignment="1">
      <alignment horizontal="center"/>
    </xf>
    <xf numFmtId="37" fontId="18" fillId="10" borderId="44" xfId="0" applyNumberFormat="1" applyFont="1" applyFill="1" applyBorder="1" applyAlignment="1" applyProtection="1"/>
    <xf numFmtId="37" fontId="18" fillId="0" borderId="44" xfId="0" applyNumberFormat="1" applyFont="1" applyFill="1" applyBorder="1" applyAlignment="1"/>
    <xf numFmtId="3" fontId="18" fillId="0" borderId="44" xfId="0" applyNumberFormat="1" applyFont="1" applyFill="1" applyBorder="1" applyAlignment="1">
      <alignment horizontal="center"/>
    </xf>
    <xf numFmtId="37" fontId="22" fillId="0" borderId="44" xfId="0" applyNumberFormat="1" applyFont="1" applyFill="1" applyBorder="1" applyAlignment="1" applyProtection="1">
      <alignment horizontal="center"/>
    </xf>
    <xf numFmtId="37" fontId="18" fillId="0" borderId="44" xfId="0" applyNumberFormat="1" applyFont="1" applyBorder="1" applyAlignment="1">
      <alignment horizontal="center"/>
    </xf>
    <xf numFmtId="37" fontId="18" fillId="0" borderId="44" xfId="0" applyNumberFormat="1" applyFont="1" applyFill="1" applyBorder="1" applyAlignment="1">
      <alignment horizontal="center"/>
    </xf>
    <xf numFmtId="9" fontId="18" fillId="10" borderId="22" xfId="0" applyNumberFormat="1" applyFont="1" applyFill="1" applyBorder="1" applyProtection="1"/>
    <xf numFmtId="2" fontId="18" fillId="10" borderId="16" xfId="0" applyNumberFormat="1" applyFont="1" applyFill="1" applyBorder="1"/>
    <xf numFmtId="5" fontId="18" fillId="0" borderId="0" xfId="0" applyNumberFormat="1" applyFont="1"/>
    <xf numFmtId="10" fontId="16" fillId="0" borderId="54" xfId="0" applyNumberFormat="1" applyFont="1" applyBorder="1"/>
    <xf numFmtId="3" fontId="11" fillId="0" borderId="0" xfId="0" applyNumberFormat="1" applyFont="1" applyFill="1"/>
    <xf numFmtId="0" fontId="17" fillId="0" borderId="45" xfId="0" applyFont="1" applyFill="1" applyBorder="1" applyProtection="1"/>
    <xf numFmtId="0" fontId="17" fillId="0" borderId="45" xfId="0" applyFont="1" applyBorder="1" applyProtection="1"/>
    <xf numFmtId="37" fontId="0" fillId="0" borderId="0" xfId="0" applyNumberFormat="1"/>
    <xf numFmtId="9" fontId="16" fillId="0" borderId="0" xfId="0" applyNumberFormat="1" applyFont="1" applyBorder="1" applyAlignment="1">
      <alignment wrapText="1"/>
    </xf>
    <xf numFmtId="0" fontId="0" fillId="0" borderId="0" xfId="0" applyFill="1"/>
    <xf numFmtId="168" fontId="0" fillId="0" borderId="0" xfId="0" applyNumberFormat="1" applyFill="1" applyBorder="1"/>
    <xf numFmtId="3" fontId="64" fillId="0" borderId="35" xfId="0" applyNumberFormat="1" applyFont="1" applyFill="1" applyBorder="1" applyAlignment="1">
      <alignment horizontal="right" wrapText="1"/>
    </xf>
    <xf numFmtId="9" fontId="63" fillId="0" borderId="0" xfId="0" applyNumberFormat="1" applyFont="1" applyBorder="1"/>
    <xf numFmtId="3" fontId="64" fillId="0" borderId="7" xfId="0" applyNumberFormat="1" applyFont="1" applyFill="1" applyBorder="1" applyAlignment="1">
      <alignment horizontal="right" wrapText="1"/>
    </xf>
    <xf numFmtId="0" fontId="16" fillId="12" borderId="50" xfId="0" applyFont="1" applyFill="1" applyBorder="1" applyAlignment="1">
      <alignment horizontal="center"/>
    </xf>
    <xf numFmtId="0" fontId="16" fillId="12" borderId="51" xfId="0" applyFont="1" applyFill="1" applyBorder="1" applyAlignment="1">
      <alignment horizontal="center"/>
    </xf>
    <xf numFmtId="168" fontId="16" fillId="12" borderId="50" xfId="0" applyNumberFormat="1" applyFont="1" applyFill="1" applyBorder="1"/>
    <xf numFmtId="168" fontId="16" fillId="12" borderId="52" xfId="0" applyNumberFormat="1" applyFont="1" applyFill="1" applyBorder="1"/>
    <xf numFmtId="0" fontId="16" fillId="12" borderId="50" xfId="0" applyFont="1" applyFill="1" applyBorder="1"/>
    <xf numFmtId="0" fontId="16" fillId="12" borderId="51" xfId="0" applyFont="1" applyFill="1" applyBorder="1"/>
    <xf numFmtId="168" fontId="15" fillId="12" borderId="50" xfId="0" applyNumberFormat="1" applyFont="1" applyFill="1" applyBorder="1"/>
    <xf numFmtId="168" fontId="15" fillId="12" borderId="52" xfId="0" applyNumberFormat="1" applyFont="1" applyFill="1" applyBorder="1"/>
    <xf numFmtId="168" fontId="15" fillId="12" borderId="58" xfId="0" applyNumberFormat="1" applyFont="1" applyFill="1" applyBorder="1"/>
    <xf numFmtId="0" fontId="22" fillId="0" borderId="66" xfId="0" applyFont="1" applyBorder="1" applyAlignment="1" applyProtection="1">
      <alignment horizontal="left" vertical="center" indent="1"/>
    </xf>
    <xf numFmtId="41" fontId="22" fillId="0" borderId="66" xfId="0" applyNumberFormat="1" applyFont="1" applyBorder="1" applyProtection="1"/>
    <xf numFmtId="4" fontId="41" fillId="0" borderId="0" xfId="0" applyNumberFormat="1" applyFont="1" applyFill="1" applyBorder="1" applyAlignment="1">
      <alignment horizontal="center" wrapText="1"/>
    </xf>
    <xf numFmtId="0" fontId="19" fillId="0" borderId="36" xfId="0" applyFont="1" applyBorder="1" applyAlignment="1">
      <alignment horizontal="left"/>
    </xf>
    <xf numFmtId="37" fontId="16" fillId="0" borderId="68" xfId="22" applyFont="1" applyBorder="1"/>
    <xf numFmtId="37" fontId="16" fillId="8" borderId="68" xfId="22" applyFont="1" applyFill="1" applyBorder="1" applyAlignment="1">
      <alignment horizontal="center"/>
    </xf>
    <xf numFmtId="5" fontId="16" fillId="8" borderId="68" xfId="5" applyNumberFormat="1" applyFont="1" applyFill="1" applyBorder="1" applyAlignment="1">
      <alignment horizontal="center"/>
    </xf>
    <xf numFmtId="0" fontId="18" fillId="10" borderId="64" xfId="0" applyFont="1" applyFill="1" applyBorder="1"/>
    <xf numFmtId="43" fontId="16" fillId="0" borderId="0" xfId="0" applyNumberFormat="1" applyFont="1"/>
    <xf numFmtId="170" fontId="21" fillId="0" borderId="0" xfId="1" applyNumberFormat="1" applyFont="1" applyBorder="1"/>
    <xf numFmtId="0" fontId="19" fillId="0" borderId="0" xfId="0" applyFont="1" applyBorder="1" applyAlignment="1">
      <alignment horizontal="left"/>
    </xf>
    <xf numFmtId="3" fontId="19" fillId="0" borderId="30" xfId="0" applyNumberFormat="1" applyFont="1" applyFill="1" applyBorder="1" applyAlignment="1">
      <alignment horizontal="center"/>
    </xf>
    <xf numFmtId="166" fontId="11" fillId="0" borderId="0" xfId="23" applyNumberFormat="1" applyFont="1" applyBorder="1"/>
    <xf numFmtId="5" fontId="17" fillId="0" borderId="72" xfId="0" applyNumberFormat="1" applyFont="1" applyBorder="1" applyProtection="1"/>
    <xf numFmtId="0" fontId="21" fillId="0" borderId="0" xfId="0" applyFont="1" applyBorder="1" applyProtection="1"/>
    <xf numFmtId="0" fontId="0" fillId="0" borderId="0" xfId="0"/>
    <xf numFmtId="0" fontId="15" fillId="0" borderId="0" xfId="0" applyFont="1" applyBorder="1"/>
    <xf numFmtId="0" fontId="18" fillId="0" borderId="0" xfId="0" applyFont="1"/>
    <xf numFmtId="0" fontId="18" fillId="0" borderId="0" xfId="0" applyFont="1" applyBorder="1"/>
    <xf numFmtId="0" fontId="19" fillId="0" borderId="0" xfId="0" applyFont="1"/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42" fontId="18" fillId="0" borderId="0" xfId="0" applyNumberFormat="1" applyFont="1" applyBorder="1"/>
    <xf numFmtId="10" fontId="18" fillId="0" borderId="0" xfId="0" applyNumberFormat="1" applyFont="1" applyBorder="1"/>
    <xf numFmtId="0" fontId="19" fillId="0" borderId="0" xfId="0" applyFont="1" applyBorder="1" applyAlignment="1">
      <alignment horizontal="left"/>
    </xf>
    <xf numFmtId="2" fontId="18" fillId="0" borderId="0" xfId="0" applyNumberFormat="1" applyFont="1" applyBorder="1"/>
    <xf numFmtId="5" fontId="18" fillId="0" borderId="0" xfId="0" applyNumberFormat="1" applyFont="1" applyBorder="1" applyProtection="1"/>
    <xf numFmtId="0" fontId="18" fillId="0" borderId="0" xfId="0" applyFont="1" applyFill="1" applyBorder="1" applyAlignment="1">
      <alignment horizontal="right"/>
    </xf>
    <xf numFmtId="0" fontId="16" fillId="0" borderId="0" xfId="0" applyFont="1" applyBorder="1"/>
    <xf numFmtId="5" fontId="16" fillId="0" borderId="0" xfId="0" applyNumberFormat="1" applyFont="1" applyBorder="1" applyProtection="1"/>
    <xf numFmtId="0" fontId="41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left" indent="1"/>
    </xf>
    <xf numFmtId="0" fontId="18" fillId="0" borderId="0" xfId="0" applyFont="1" applyBorder="1" applyAlignment="1">
      <alignment horizontal="left" indent="1"/>
    </xf>
    <xf numFmtId="0" fontId="18" fillId="0" borderId="69" xfId="0" applyFont="1" applyBorder="1" applyAlignment="1">
      <alignment horizontal="center"/>
    </xf>
    <xf numFmtId="0" fontId="18" fillId="0" borderId="69" xfId="0" applyFont="1" applyFill="1" applyBorder="1" applyAlignment="1">
      <alignment horizontal="center"/>
    </xf>
    <xf numFmtId="0" fontId="19" fillId="0" borderId="69" xfId="0" applyFont="1" applyBorder="1" applyAlignment="1">
      <alignment horizontal="left"/>
    </xf>
    <xf numFmtId="0" fontId="19" fillId="0" borderId="70" xfId="0" applyFont="1" applyBorder="1"/>
    <xf numFmtId="0" fontId="18" fillId="0" borderId="70" xfId="0" applyFont="1" applyBorder="1"/>
    <xf numFmtId="0" fontId="18" fillId="0" borderId="70" xfId="0" applyFont="1" applyBorder="1" applyAlignment="1">
      <alignment horizontal="left" indent="1"/>
    </xf>
    <xf numFmtId="42" fontId="19" fillId="0" borderId="70" xfId="0" applyNumberFormat="1" applyFont="1" applyBorder="1"/>
    <xf numFmtId="10" fontId="11" fillId="0" borderId="0" xfId="0" applyNumberFormat="1" applyFont="1" applyBorder="1" applyProtection="1"/>
    <xf numFmtId="0" fontId="14" fillId="0" borderId="0" xfId="0" applyFont="1" applyBorder="1" applyAlignment="1" applyProtection="1">
      <alignment horizontal="left" indent="1"/>
    </xf>
    <xf numFmtId="0" fontId="19" fillId="0" borderId="70" xfId="0" applyFont="1" applyBorder="1" applyAlignment="1">
      <alignment horizontal="right"/>
    </xf>
    <xf numFmtId="9" fontId="18" fillId="0" borderId="0" xfId="0" applyNumberFormat="1" applyFont="1" applyBorder="1" applyProtection="1"/>
    <xf numFmtId="9" fontId="18" fillId="0" borderId="0" xfId="23" applyFont="1" applyBorder="1" applyProtection="1"/>
    <xf numFmtId="6" fontId="15" fillId="0" borderId="0" xfId="0" applyNumberFormat="1" applyFont="1"/>
    <xf numFmtId="2" fontId="18" fillId="0" borderId="64" xfId="0" applyNumberFormat="1" applyFont="1" applyBorder="1"/>
    <xf numFmtId="42" fontId="18" fillId="0" borderId="64" xfId="0" applyNumberFormat="1" applyFont="1" applyBorder="1"/>
    <xf numFmtId="2" fontId="18" fillId="0" borderId="64" xfId="0" applyNumberFormat="1" applyFont="1" applyBorder="1" applyAlignment="1">
      <alignment horizontal="center"/>
    </xf>
    <xf numFmtId="10" fontId="18" fillId="0" borderId="64" xfId="0" applyNumberFormat="1" applyFont="1" applyBorder="1" applyAlignment="1" applyProtection="1">
      <alignment horizontal="center"/>
    </xf>
    <xf numFmtId="41" fontId="18" fillId="0" borderId="64" xfId="0" applyNumberFormat="1" applyFont="1" applyFill="1" applyBorder="1"/>
    <xf numFmtId="10" fontId="18" fillId="10" borderId="64" xfId="0" applyNumberFormat="1" applyFont="1" applyFill="1" applyBorder="1" applyProtection="1"/>
    <xf numFmtId="166" fontId="18" fillId="10" borderId="64" xfId="0" applyNumberFormat="1" applyFont="1" applyFill="1" applyBorder="1" applyAlignment="1" applyProtection="1"/>
    <xf numFmtId="10" fontId="18" fillId="10" borderId="64" xfId="0" applyNumberFormat="1" applyFont="1" applyFill="1" applyBorder="1" applyAlignment="1" applyProtection="1"/>
    <xf numFmtId="2" fontId="18" fillId="10" borderId="64" xfId="0" applyNumberFormat="1" applyFont="1" applyFill="1" applyBorder="1" applyAlignment="1" applyProtection="1"/>
    <xf numFmtId="10" fontId="18" fillId="0" borderId="64" xfId="0" applyNumberFormat="1" applyFont="1" applyBorder="1"/>
    <xf numFmtId="9" fontId="18" fillId="0" borderId="64" xfId="0" applyNumberFormat="1" applyFont="1" applyBorder="1"/>
    <xf numFmtId="8" fontId="18" fillId="0" borderId="64" xfId="0" applyNumberFormat="1" applyFont="1" applyBorder="1"/>
    <xf numFmtId="6" fontId="18" fillId="0" borderId="64" xfId="0" applyNumberFormat="1" applyFont="1" applyBorder="1"/>
    <xf numFmtId="6" fontId="18" fillId="0" borderId="0" xfId="0" applyNumberFormat="1" applyFont="1"/>
    <xf numFmtId="6" fontId="19" fillId="0" borderId="0" xfId="0" applyNumberFormat="1" applyFont="1"/>
    <xf numFmtId="0" fontId="18" fillId="0" borderId="64" xfId="0" applyFont="1" applyBorder="1"/>
    <xf numFmtId="3" fontId="18" fillId="0" borderId="64" xfId="0" applyNumberFormat="1" applyFont="1" applyBorder="1"/>
    <xf numFmtId="3" fontId="19" fillId="0" borderId="0" xfId="0" applyNumberFormat="1" applyFont="1"/>
    <xf numFmtId="169" fontId="18" fillId="0" borderId="64" xfId="0" applyNumberFormat="1" applyFont="1" applyBorder="1" applyAlignment="1" applyProtection="1">
      <alignment horizontal="center"/>
    </xf>
    <xf numFmtId="167" fontId="18" fillId="0" borderId="0" xfId="5" applyNumberFormat="1" applyFont="1"/>
    <xf numFmtId="167" fontId="18" fillId="0" borderId="0" xfId="0" applyNumberFormat="1" applyFont="1"/>
    <xf numFmtId="9" fontId="18" fillId="0" borderId="0" xfId="0" applyNumberFormat="1" applyFont="1"/>
    <xf numFmtId="171" fontId="65" fillId="0" borderId="64" xfId="196" applyNumberFormat="1" applyFont="1" applyFill="1" applyBorder="1" applyAlignment="1">
      <alignment horizontal="left" vertical="top"/>
    </xf>
    <xf numFmtId="0" fontId="22" fillId="0" borderId="72" xfId="0" applyFont="1" applyBorder="1" applyProtection="1"/>
    <xf numFmtId="0" fontId="16" fillId="0" borderId="55" xfId="0" applyFont="1" applyBorder="1"/>
    <xf numFmtId="0" fontId="46" fillId="6" borderId="0" xfId="0" applyFont="1" applyFill="1" applyBorder="1"/>
    <xf numFmtId="0" fontId="18" fillId="6" borderId="0" xfId="0" applyFont="1" applyFill="1" applyBorder="1"/>
    <xf numFmtId="10" fontId="26" fillId="0" borderId="0" xfId="23" applyNumberFormat="1" applyFont="1" applyAlignment="1" applyProtection="1">
      <alignment horizontal="right" indent="1"/>
      <protection locked="0"/>
    </xf>
    <xf numFmtId="10" fontId="16" fillId="0" borderId="0" xfId="0" applyNumberFormat="1" applyFont="1" applyFill="1" applyBorder="1"/>
    <xf numFmtId="37" fontId="52" fillId="0" borderId="0" xfId="0" applyNumberFormat="1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center" vertical="center" wrapText="1"/>
    </xf>
    <xf numFmtId="167" fontId="18" fillId="0" borderId="0" xfId="0" applyNumberFormat="1" applyFont="1" applyBorder="1"/>
    <xf numFmtId="0" fontId="67" fillId="0" borderId="0" xfId="0" applyFont="1"/>
    <xf numFmtId="167" fontId="20" fillId="0" borderId="0" xfId="0" applyNumberFormat="1" applyFont="1" applyBorder="1"/>
    <xf numFmtId="37" fontId="18" fillId="0" borderId="0" xfId="0" applyNumberFormat="1" applyFont="1" applyAlignment="1">
      <alignment horizontal="left" indent="1"/>
    </xf>
    <xf numFmtId="166" fontId="63" fillId="0" borderId="0" xfId="23" applyNumberFormat="1" applyFont="1"/>
    <xf numFmtId="166" fontId="11" fillId="0" borderId="41" xfId="23" applyNumberFormat="1" applyFont="1" applyFill="1" applyBorder="1" applyAlignment="1">
      <alignment horizontal="center"/>
    </xf>
    <xf numFmtId="171" fontId="63" fillId="0" borderId="0" xfId="0" applyNumberFormat="1" applyFont="1" applyFill="1" applyBorder="1"/>
    <xf numFmtId="166" fontId="63" fillId="0" borderId="0" xfId="0" applyNumberFormat="1" applyFont="1" applyBorder="1"/>
    <xf numFmtId="0" fontId="31" fillId="0" borderId="45" xfId="0" applyFont="1" applyFill="1" applyBorder="1" applyProtection="1"/>
    <xf numFmtId="43" fontId="59" fillId="0" borderId="71" xfId="0" applyNumberFormat="1" applyFont="1" applyBorder="1" applyProtection="1"/>
    <xf numFmtId="5" fontId="59" fillId="0" borderId="45" xfId="0" applyNumberFormat="1" applyFont="1" applyBorder="1" applyProtection="1"/>
    <xf numFmtId="0" fontId="34" fillId="4" borderId="63" xfId="0" applyFont="1" applyFill="1" applyBorder="1" applyProtection="1"/>
    <xf numFmtId="0" fontId="55" fillId="0" borderId="0" xfId="0" applyFont="1" applyFill="1" applyBorder="1" applyAlignment="1">
      <alignment horizontal="center"/>
    </xf>
    <xf numFmtId="3" fontId="41" fillId="0" borderId="0" xfId="0" applyNumberFormat="1" applyFont="1" applyFill="1" applyBorder="1" applyAlignment="1">
      <alignment horizontal="right" wrapText="1"/>
    </xf>
    <xf numFmtId="37" fontId="18" fillId="0" borderId="0" xfId="0" applyNumberFormat="1" applyFont="1" applyFill="1" applyBorder="1" applyAlignment="1"/>
    <xf numFmtId="0" fontId="0" fillId="0" borderId="32" xfId="0" applyBorder="1"/>
    <xf numFmtId="167" fontId="67" fillId="0" borderId="32" xfId="0" applyNumberFormat="1" applyFont="1" applyBorder="1"/>
    <xf numFmtId="167" fontId="16" fillId="0" borderId="32" xfId="0" applyNumberFormat="1" applyFont="1" applyBorder="1"/>
    <xf numFmtId="167" fontId="0" fillId="0" borderId="32" xfId="5" applyNumberFormat="1" applyFont="1" applyBorder="1"/>
    <xf numFmtId="167" fontId="67" fillId="0" borderId="32" xfId="5" applyNumberFormat="1" applyFont="1" applyBorder="1"/>
    <xf numFmtId="0" fontId="0" fillId="0" borderId="0" xfId="0" applyBorder="1"/>
    <xf numFmtId="9" fontId="0" fillId="0" borderId="0" xfId="0" applyNumberFormat="1"/>
    <xf numFmtId="0" fontId="16" fillId="13" borderId="50" xfId="0" applyFont="1" applyFill="1" applyBorder="1" applyAlignment="1">
      <alignment horizontal="center"/>
    </xf>
    <xf numFmtId="0" fontId="16" fillId="13" borderId="51" xfId="0" applyFont="1" applyFill="1" applyBorder="1" applyAlignment="1">
      <alignment horizontal="center"/>
    </xf>
    <xf numFmtId="168" fontId="16" fillId="13" borderId="50" xfId="0" applyNumberFormat="1" applyFont="1" applyFill="1" applyBorder="1"/>
    <xf numFmtId="168" fontId="16" fillId="13" borderId="52" xfId="0" applyNumberFormat="1" applyFont="1" applyFill="1" applyBorder="1"/>
    <xf numFmtId="168" fontId="15" fillId="13" borderId="50" xfId="0" applyNumberFormat="1" applyFont="1" applyFill="1" applyBorder="1"/>
    <xf numFmtId="0" fontId="16" fillId="13" borderId="50" xfId="0" applyFont="1" applyFill="1" applyBorder="1"/>
    <xf numFmtId="0" fontId="16" fillId="13" borderId="51" xfId="0" applyFont="1" applyFill="1" applyBorder="1"/>
    <xf numFmtId="168" fontId="15" fillId="13" borderId="58" xfId="0" applyNumberFormat="1" applyFont="1" applyFill="1" applyBorder="1"/>
    <xf numFmtId="168" fontId="16" fillId="13" borderId="53" xfId="0" applyNumberFormat="1" applyFont="1" applyFill="1" applyBorder="1"/>
    <xf numFmtId="9" fontId="18" fillId="10" borderId="64" xfId="23" applyFont="1" applyFill="1" applyBorder="1" applyAlignment="1">
      <alignment horizontal="center"/>
    </xf>
    <xf numFmtId="42" fontId="11" fillId="11" borderId="46" xfId="0" applyNumberFormat="1" applyFont="1" applyFill="1" applyBorder="1"/>
    <xf numFmtId="42" fontId="11" fillId="11" borderId="71" xfId="0" applyNumberFormat="1" applyFont="1" applyFill="1" applyBorder="1" applyAlignment="1"/>
    <xf numFmtId="44" fontId="18" fillId="0" borderId="0" xfId="0" applyNumberFormat="1" applyFont="1" applyBorder="1"/>
    <xf numFmtId="9" fontId="18" fillId="0" borderId="0" xfId="23" applyFont="1" applyFill="1" applyBorder="1"/>
    <xf numFmtId="41" fontId="21" fillId="11" borderId="24" xfId="0" applyNumberFormat="1" applyFont="1" applyFill="1" applyBorder="1" applyProtection="1"/>
    <xf numFmtId="42" fontId="11" fillId="11" borderId="24" xfId="0" applyNumberFormat="1" applyFont="1" applyFill="1" applyBorder="1" applyProtection="1"/>
    <xf numFmtId="42" fontId="21" fillId="11" borderId="20" xfId="0" applyNumberFormat="1" applyFont="1" applyFill="1" applyBorder="1" applyProtection="1"/>
    <xf numFmtId="42" fontId="11" fillId="11" borderId="25" xfId="0" applyNumberFormat="1" applyFont="1" applyFill="1" applyBorder="1" applyProtection="1"/>
    <xf numFmtId="42" fontId="11" fillId="11" borderId="24" xfId="0" applyNumberFormat="1" applyFont="1" applyFill="1" applyBorder="1"/>
    <xf numFmtId="42" fontId="11" fillId="11" borderId="24" xfId="0" applyNumberFormat="1" applyFont="1" applyFill="1" applyBorder="1" applyAlignment="1"/>
    <xf numFmtId="42" fontId="21" fillId="11" borderId="20" xfId="0" applyNumberFormat="1" applyFont="1" applyFill="1" applyBorder="1" applyAlignment="1"/>
    <xf numFmtId="42" fontId="11" fillId="11" borderId="46" xfId="0" applyNumberFormat="1" applyFont="1" applyFill="1" applyBorder="1" applyAlignment="1"/>
    <xf numFmtId="42" fontId="11" fillId="11" borderId="31" xfId="0" applyNumberFormat="1" applyFont="1" applyFill="1" applyBorder="1" applyAlignment="1"/>
    <xf numFmtId="42" fontId="21" fillId="11" borderId="24" xfId="0" applyNumberFormat="1" applyFont="1" applyFill="1" applyBorder="1" applyAlignment="1"/>
    <xf numFmtId="42" fontId="21" fillId="11" borderId="71" xfId="0" applyNumberFormat="1" applyFont="1" applyFill="1" applyBorder="1" applyAlignment="1"/>
    <xf numFmtId="42" fontId="21" fillId="11" borderId="31" xfId="0" applyNumberFormat="1" applyFont="1" applyFill="1" applyBorder="1" applyProtection="1"/>
    <xf numFmtId="10" fontId="41" fillId="10" borderId="64" xfId="23" applyNumberFormat="1" applyFont="1" applyFill="1" applyBorder="1"/>
    <xf numFmtId="0" fontId="0" fillId="0" borderId="65" xfId="0" applyBorder="1"/>
    <xf numFmtId="0" fontId="18" fillId="0" borderId="0" xfId="0" applyFont="1" applyBorder="1" applyAlignment="1">
      <alignment horizontal="center"/>
    </xf>
    <xf numFmtId="0" fontId="68" fillId="0" borderId="0" xfId="0" applyFont="1" applyFill="1" applyAlignment="1">
      <alignment horizontal="right"/>
    </xf>
    <xf numFmtId="1" fontId="18" fillId="0" borderId="0" xfId="0" applyNumberFormat="1" applyFont="1"/>
    <xf numFmtId="41" fontId="18" fillId="0" borderId="40" xfId="0" applyNumberFormat="1" applyFont="1" applyFill="1" applyBorder="1" applyAlignment="1">
      <alignment horizontal="left"/>
    </xf>
    <xf numFmtId="9" fontId="26" fillId="0" borderId="0" xfId="23" applyFont="1" applyProtection="1">
      <protection locked="0"/>
    </xf>
    <xf numFmtId="0" fontId="52" fillId="0" borderId="0" xfId="0" applyFont="1" applyBorder="1"/>
    <xf numFmtId="10" fontId="18" fillId="10" borderId="64" xfId="23" applyNumberFormat="1" applyFont="1" applyFill="1" applyBorder="1" applyAlignment="1">
      <alignment horizontal="center"/>
    </xf>
    <xf numFmtId="167" fontId="26" fillId="0" borderId="0" xfId="5" applyNumberFormat="1" applyFont="1" applyProtection="1">
      <protection locked="0"/>
    </xf>
    <xf numFmtId="41" fontId="26" fillId="0" borderId="0" xfId="23" applyNumberFormat="1" applyFont="1" applyAlignment="1" applyProtection="1">
      <alignment horizontal="left" indent="1"/>
      <protection locked="0"/>
    </xf>
    <xf numFmtId="41" fontId="22" fillId="10" borderId="64" xfId="0" applyNumberFormat="1" applyFont="1" applyFill="1" applyBorder="1" applyProtection="1"/>
    <xf numFmtId="37" fontId="69" fillId="0" borderId="0" xfId="22" applyFont="1"/>
    <xf numFmtId="170" fontId="22" fillId="0" borderId="0" xfId="0" applyNumberFormat="1" applyFont="1" applyBorder="1" applyProtection="1"/>
    <xf numFmtId="9" fontId="22" fillId="10" borderId="64" xfId="23" applyNumberFormat="1" applyFont="1" applyFill="1" applyBorder="1" applyAlignment="1" applyProtection="1">
      <alignment horizontal="center"/>
    </xf>
    <xf numFmtId="0" fontId="18" fillId="0" borderId="68" xfId="0" applyFont="1" applyBorder="1" applyAlignment="1">
      <alignment horizontal="left"/>
    </xf>
    <xf numFmtId="41" fontId="61" fillId="0" borderId="68" xfId="0" applyNumberFormat="1" applyFont="1" applyBorder="1" applyAlignment="1">
      <alignment horizontal="center"/>
    </xf>
    <xf numFmtId="0" fontId="0" fillId="0" borderId="68" xfId="0" applyBorder="1"/>
    <xf numFmtId="0" fontId="16" fillId="0" borderId="68" xfId="0" applyFont="1" applyBorder="1"/>
    <xf numFmtId="171" fontId="15" fillId="12" borderId="53" xfId="0" applyNumberFormat="1" applyFont="1" applyFill="1" applyBorder="1"/>
    <xf numFmtId="167" fontId="0" fillId="0" borderId="73" xfId="5" applyNumberFormat="1" applyFont="1" applyBorder="1"/>
    <xf numFmtId="44" fontId="11" fillId="0" borderId="0" xfId="0" applyNumberFormat="1" applyFont="1" applyBorder="1"/>
    <xf numFmtId="168" fontId="0" fillId="0" borderId="0" xfId="0" applyNumberFormat="1"/>
    <xf numFmtId="5" fontId="22" fillId="0" borderId="69" xfId="0" applyNumberFormat="1" applyFont="1" applyBorder="1" applyProtection="1"/>
    <xf numFmtId="3" fontId="64" fillId="0" borderId="69" xfId="0" applyNumberFormat="1" applyFont="1" applyFill="1" applyBorder="1" applyAlignment="1">
      <alignment horizontal="right" wrapText="1"/>
    </xf>
    <xf numFmtId="37" fontId="18" fillId="0" borderId="64" xfId="0" applyNumberFormat="1" applyFont="1" applyFill="1" applyBorder="1" applyAlignment="1"/>
    <xf numFmtId="37" fontId="18" fillId="0" borderId="70" xfId="0" applyNumberFormat="1" applyFont="1" applyBorder="1" applyAlignment="1"/>
    <xf numFmtId="171" fontId="0" fillId="0" borderId="0" xfId="0" applyNumberFormat="1"/>
    <xf numFmtId="42" fontId="11" fillId="11" borderId="71" xfId="0" applyNumberFormat="1" applyFont="1" applyFill="1" applyBorder="1" applyProtection="1"/>
    <xf numFmtId="37" fontId="58" fillId="0" borderId="0" xfId="0" applyNumberFormat="1" applyFont="1" applyBorder="1" applyProtection="1"/>
    <xf numFmtId="0" fontId="58" fillId="0" borderId="0" xfId="0" applyFont="1" applyBorder="1" applyProtection="1"/>
    <xf numFmtId="167" fontId="16" fillId="0" borderId="55" xfId="0" applyNumberFormat="1" applyFont="1" applyBorder="1"/>
    <xf numFmtId="167" fontId="67" fillId="0" borderId="55" xfId="0" applyNumberFormat="1" applyFont="1" applyBorder="1"/>
    <xf numFmtId="37" fontId="18" fillId="0" borderId="21" xfId="0" applyNumberFormat="1" applyFont="1" applyFill="1" applyBorder="1" applyProtection="1"/>
    <xf numFmtId="37" fontId="18" fillId="0" borderId="0" xfId="0" applyNumberFormat="1" applyFont="1" applyFill="1" applyBorder="1" applyProtection="1"/>
    <xf numFmtId="9" fontId="18" fillId="0" borderId="22" xfId="0" applyNumberFormat="1" applyFont="1" applyFill="1" applyBorder="1" applyProtection="1"/>
    <xf numFmtId="39" fontId="20" fillId="0" borderId="23" xfId="0" applyNumberFormat="1" applyFont="1" applyFill="1" applyBorder="1" applyProtection="1"/>
    <xf numFmtId="5" fontId="20" fillId="0" borderId="23" xfId="0" applyNumberFormat="1" applyFont="1" applyFill="1" applyBorder="1" applyProtection="1"/>
    <xf numFmtId="10" fontId="18" fillId="0" borderId="0" xfId="0" applyNumberFormat="1" applyFont="1" applyFill="1" applyBorder="1" applyProtection="1"/>
    <xf numFmtId="39" fontId="18" fillId="0" borderId="0" xfId="0" applyNumberFormat="1" applyFont="1" applyFill="1" applyBorder="1" applyAlignment="1" applyProtection="1">
      <alignment horizontal="left"/>
    </xf>
    <xf numFmtId="5" fontId="19" fillId="0" borderId="0" xfId="0" applyNumberFormat="1" applyFont="1" applyFill="1" applyBorder="1" applyAlignment="1" applyProtection="1">
      <alignment horizontal="right"/>
    </xf>
    <xf numFmtId="0" fontId="16" fillId="0" borderId="18" xfId="0" applyFont="1" applyFill="1" applyBorder="1"/>
    <xf numFmtId="5" fontId="19" fillId="0" borderId="18" xfId="0" applyNumberFormat="1" applyFont="1" applyFill="1" applyBorder="1" applyProtection="1"/>
    <xf numFmtId="7" fontId="16" fillId="0" borderId="0" xfId="0" applyNumberFormat="1" applyFont="1" applyFill="1" applyBorder="1"/>
    <xf numFmtId="37" fontId="19" fillId="0" borderId="0" xfId="0" applyNumberFormat="1" applyFont="1" applyFill="1" applyBorder="1" applyProtection="1"/>
    <xf numFmtId="5" fontId="19" fillId="0" borderId="0" xfId="0" applyNumberFormat="1" applyFont="1" applyFill="1" applyBorder="1" applyProtection="1"/>
    <xf numFmtId="42" fontId="11" fillId="11" borderId="71" xfId="0" applyNumberFormat="1" applyFont="1" applyFill="1" applyBorder="1"/>
    <xf numFmtId="9" fontId="64" fillId="0" borderId="35" xfId="23" applyFont="1" applyFill="1" applyBorder="1" applyAlignment="1">
      <alignment horizontal="right" wrapText="1"/>
    </xf>
    <xf numFmtId="10" fontId="0" fillId="0" borderId="0" xfId="0" applyNumberFormat="1"/>
    <xf numFmtId="167" fontId="16" fillId="0" borderId="0" xfId="5" applyNumberFormat="1" applyFont="1"/>
    <xf numFmtId="44" fontId="16" fillId="0" borderId="0" xfId="0" applyNumberFormat="1" applyFont="1"/>
    <xf numFmtId="0" fontId="64" fillId="0" borderId="0" xfId="0" applyFont="1" applyBorder="1"/>
    <xf numFmtId="0" fontId="23" fillId="0" borderId="0" xfId="0" applyFont="1" applyAlignment="1">
      <alignment horizontal="left" indent="1"/>
    </xf>
    <xf numFmtId="167" fontId="18" fillId="0" borderId="0" xfId="5" applyNumberFormat="1" applyFont="1" applyFill="1" applyBorder="1"/>
    <xf numFmtId="171" fontId="16" fillId="0" borderId="0" xfId="0" applyNumberFormat="1" applyFont="1" applyBorder="1"/>
    <xf numFmtId="0" fontId="14" fillId="0" borderId="45" xfId="0" applyFont="1" applyFill="1" applyBorder="1" applyAlignment="1" applyProtection="1">
      <alignment horizontal="left" indent="1"/>
    </xf>
    <xf numFmtId="0" fontId="16" fillId="0" borderId="6" xfId="0" applyFont="1" applyFill="1" applyBorder="1"/>
    <xf numFmtId="41" fontId="21" fillId="14" borderId="24" xfId="0" applyNumberFormat="1" applyFont="1" applyFill="1" applyBorder="1" applyProtection="1"/>
    <xf numFmtId="42" fontId="11" fillId="14" borderId="24" xfId="0" applyNumberFormat="1" applyFont="1" applyFill="1" applyBorder="1" applyProtection="1"/>
    <xf numFmtId="42" fontId="21" fillId="14" borderId="20" xfId="0" applyNumberFormat="1" applyFont="1" applyFill="1" applyBorder="1" applyProtection="1"/>
    <xf numFmtId="42" fontId="11" fillId="14" borderId="71" xfId="0" applyNumberFormat="1" applyFont="1" applyFill="1" applyBorder="1" applyProtection="1"/>
    <xf numFmtId="42" fontId="11" fillId="14" borderId="25" xfId="0" applyNumberFormat="1" applyFont="1" applyFill="1" applyBorder="1" applyProtection="1"/>
    <xf numFmtId="42" fontId="11" fillId="14" borderId="24" xfId="0" applyNumberFormat="1" applyFont="1" applyFill="1" applyBorder="1"/>
    <xf numFmtId="42" fontId="11" fillId="14" borderId="24" xfId="0" applyNumberFormat="1" applyFont="1" applyFill="1" applyBorder="1" applyAlignment="1"/>
    <xf numFmtId="42" fontId="11" fillId="14" borderId="71" xfId="0" applyNumberFormat="1" applyFont="1" applyFill="1" applyBorder="1" applyAlignment="1"/>
    <xf numFmtId="42" fontId="21" fillId="14" borderId="20" xfId="0" applyNumberFormat="1" applyFont="1" applyFill="1" applyBorder="1" applyAlignment="1"/>
    <xf numFmtId="5" fontId="11" fillId="14" borderId="24" xfId="0" applyNumberFormat="1" applyFont="1" applyFill="1" applyBorder="1" applyAlignment="1"/>
    <xf numFmtId="5" fontId="21" fillId="14" borderId="26" xfId="0" applyNumberFormat="1" applyFont="1" applyFill="1" applyBorder="1" applyAlignment="1"/>
    <xf numFmtId="42" fontId="11" fillId="14" borderId="46" xfId="0" applyNumberFormat="1" applyFont="1" applyFill="1" applyBorder="1" applyAlignment="1"/>
    <xf numFmtId="42" fontId="11" fillId="14" borderId="31" xfId="0" applyNumberFormat="1" applyFont="1" applyFill="1" applyBorder="1" applyAlignment="1"/>
    <xf numFmtId="42" fontId="21" fillId="14" borderId="24" xfId="0" applyNumberFormat="1" applyFont="1" applyFill="1" applyBorder="1" applyAlignment="1"/>
    <xf numFmtId="42" fontId="21" fillId="14" borderId="71" xfId="0" applyNumberFormat="1" applyFont="1" applyFill="1" applyBorder="1" applyAlignment="1"/>
    <xf numFmtId="167" fontId="21" fillId="14" borderId="71" xfId="0" applyNumberFormat="1" applyFont="1" applyFill="1" applyBorder="1" applyAlignment="1"/>
    <xf numFmtId="42" fontId="21" fillId="14" borderId="31" xfId="0" applyNumberFormat="1" applyFont="1" applyFill="1" applyBorder="1" applyProtection="1"/>
    <xf numFmtId="0" fontId="14" fillId="0" borderId="45" xfId="0" applyFont="1" applyBorder="1" applyAlignment="1" applyProtection="1">
      <alignment horizontal="left" indent="1"/>
    </xf>
    <xf numFmtId="0" fontId="58" fillId="0" borderId="71" xfId="0" applyFont="1" applyFill="1" applyBorder="1" applyProtection="1"/>
    <xf numFmtId="42" fontId="11" fillId="14" borderId="71" xfId="0" applyNumberFormat="1" applyFont="1" applyFill="1" applyBorder="1"/>
    <xf numFmtId="5" fontId="17" fillId="0" borderId="45" xfId="0" applyNumberFormat="1" applyFont="1" applyBorder="1" applyProtection="1"/>
    <xf numFmtId="0" fontId="18" fillId="0" borderId="67" xfId="0" applyFont="1" applyBorder="1" applyAlignment="1">
      <alignment horizontal="left"/>
    </xf>
    <xf numFmtId="3" fontId="11" fillId="0" borderId="68" xfId="0" applyNumberFormat="1" applyFont="1" applyBorder="1"/>
    <xf numFmtId="176" fontId="17" fillId="0" borderId="71" xfId="23" applyNumberFormat="1" applyFont="1" applyFill="1" applyBorder="1" applyProtection="1"/>
    <xf numFmtId="0" fontId="14" fillId="0" borderId="0" xfId="0" applyFont="1" applyAlignment="1">
      <alignment horizontal="left" indent="1"/>
    </xf>
    <xf numFmtId="0" fontId="14" fillId="0" borderId="45" xfId="0" applyFont="1" applyBorder="1" applyAlignment="1">
      <alignment horizontal="left" indent="1"/>
    </xf>
    <xf numFmtId="170" fontId="17" fillId="8" borderId="0" xfId="1" applyNumberFormat="1" applyFont="1" applyFill="1" applyBorder="1" applyProtection="1"/>
    <xf numFmtId="170" fontId="17" fillId="0" borderId="0" xfId="1" applyNumberFormat="1" applyFont="1" applyFill="1" applyBorder="1" applyProtection="1"/>
    <xf numFmtId="0" fontId="34" fillId="4" borderId="63" xfId="0" applyFont="1" applyFill="1" applyBorder="1"/>
    <xf numFmtId="10" fontId="22" fillId="0" borderId="0" xfId="0" applyNumberFormat="1" applyFont="1"/>
    <xf numFmtId="0" fontId="22" fillId="0" borderId="0" xfId="0" applyFont="1"/>
    <xf numFmtId="165" fontId="22" fillId="0" borderId="0" xfId="0" applyNumberFormat="1" applyFont="1"/>
    <xf numFmtId="167" fontId="18" fillId="0" borderId="0" xfId="0" applyNumberFormat="1" applyFont="1" applyProtection="1">
      <protection locked="0"/>
    </xf>
    <xf numFmtId="41" fontId="18" fillId="0" borderId="0" xfId="0" applyNumberFormat="1" applyFont="1" applyProtection="1">
      <protection locked="0"/>
    </xf>
    <xf numFmtId="10" fontId="18" fillId="0" borderId="0" xfId="23" applyNumberFormat="1" applyFont="1" applyBorder="1" applyAlignment="1" applyProtection="1">
      <protection locked="0"/>
    </xf>
    <xf numFmtId="0" fontId="19" fillId="0" borderId="0" xfId="0" applyFont="1" applyBorder="1" applyAlignment="1">
      <alignment horizontal="right"/>
    </xf>
    <xf numFmtId="5" fontId="11" fillId="14" borderId="71" xfId="0" applyNumberFormat="1" applyFont="1" applyFill="1" applyBorder="1" applyAlignment="1"/>
    <xf numFmtId="41" fontId="15" fillId="0" borderId="0" xfId="0" applyNumberFormat="1" applyFont="1"/>
    <xf numFmtId="179" fontId="41" fillId="0" borderId="0" xfId="0" applyNumberFormat="1" applyFont="1" applyFill="1" applyBorder="1" applyAlignment="1">
      <alignment horizontal="right" wrapText="1"/>
    </xf>
    <xf numFmtId="37" fontId="41" fillId="10" borderId="64" xfId="23" applyNumberFormat="1" applyFont="1" applyFill="1" applyBorder="1"/>
    <xf numFmtId="0" fontId="21" fillId="0" borderId="45" xfId="0" applyFont="1" applyBorder="1" applyAlignment="1" applyProtection="1">
      <alignment horizontal="left"/>
    </xf>
    <xf numFmtId="0" fontId="57" fillId="0" borderId="71" xfId="0" applyFont="1" applyBorder="1" applyProtection="1"/>
    <xf numFmtId="0" fontId="57" fillId="0" borderId="0" xfId="0" applyFont="1" applyBorder="1" applyProtection="1"/>
    <xf numFmtId="42" fontId="21" fillId="11" borderId="71" xfId="0" applyNumberFormat="1" applyFont="1" applyFill="1" applyBorder="1" applyProtection="1"/>
    <xf numFmtId="42" fontId="21" fillId="14" borderId="71" xfId="0" applyNumberFormat="1" applyFont="1" applyFill="1" applyBorder="1" applyProtection="1"/>
    <xf numFmtId="42" fontId="0" fillId="0" borderId="0" xfId="0" applyNumberFormat="1"/>
    <xf numFmtId="167" fontId="0" fillId="0" borderId="64" xfId="5" applyNumberFormat="1" applyFont="1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wrapText="1"/>
    </xf>
    <xf numFmtId="14" fontId="11" fillId="0" borderId="0" xfId="0" applyNumberFormat="1" applyFont="1"/>
    <xf numFmtId="9" fontId="11" fillId="0" borderId="0" xfId="0" applyNumberFormat="1" applyFont="1" applyAlignment="1">
      <alignment horizontal="center"/>
    </xf>
    <xf numFmtId="3" fontId="0" fillId="0" borderId="0" xfId="0" applyNumberFormat="1"/>
    <xf numFmtId="167" fontId="0" fillId="0" borderId="0" xfId="0" applyNumberFormat="1"/>
    <xf numFmtId="0" fontId="21" fillId="0" borderId="0" xfId="0" applyFont="1" applyAlignment="1">
      <alignment horizontal="center" vertical="center" wrapText="1"/>
    </xf>
    <xf numFmtId="10" fontId="0" fillId="0" borderId="0" xfId="23" applyNumberFormat="1" applyFont="1"/>
    <xf numFmtId="37" fontId="11" fillId="0" borderId="0" xfId="22" applyFont="1" applyAlignment="1">
      <alignment horizontal="right"/>
    </xf>
    <xf numFmtId="167" fontId="11" fillId="0" borderId="0" xfId="5" applyNumberFormat="1" applyFont="1" applyBorder="1"/>
    <xf numFmtId="9" fontId="11" fillId="0" borderId="0" xfId="22" applyNumberFormat="1" applyFont="1" applyAlignment="1">
      <alignment horizontal="right"/>
    </xf>
    <xf numFmtId="9" fontId="11" fillId="0" borderId="0" xfId="23" applyFont="1" applyBorder="1"/>
    <xf numFmtId="167" fontId="11" fillId="0" borderId="0" xfId="5" applyNumberFormat="1" applyFont="1" applyBorder="1" applyProtection="1"/>
    <xf numFmtId="37" fontId="11" fillId="0" borderId="0" xfId="22" applyFont="1" applyAlignment="1" applyProtection="1">
      <alignment horizontal="left"/>
      <protection locked="0"/>
    </xf>
    <xf numFmtId="167" fontId="11" fillId="5" borderId="73" xfId="5" applyNumberFormat="1" applyFont="1" applyFill="1" applyBorder="1" applyProtection="1">
      <protection locked="0"/>
    </xf>
    <xf numFmtId="37" fontId="69" fillId="0" borderId="0" xfId="22" applyFont="1" applyAlignment="1" applyProtection="1">
      <alignment horizontal="left"/>
      <protection locked="0"/>
    </xf>
    <xf numFmtId="37" fontId="11" fillId="0" borderId="0" xfId="22" applyFont="1" applyAlignment="1" applyProtection="1">
      <alignment horizontal="right"/>
      <protection locked="0"/>
    </xf>
    <xf numFmtId="9" fontId="22" fillId="0" borderId="0" xfId="23" applyFont="1" applyFill="1" applyBorder="1" applyProtection="1"/>
    <xf numFmtId="0" fontId="27" fillId="0" borderId="0" xfId="0" applyFont="1" applyBorder="1" applyAlignment="1">
      <alignment horizontal="center"/>
    </xf>
    <xf numFmtId="5" fontId="17" fillId="0" borderId="74" xfId="0" applyNumberFormat="1" applyFont="1" applyBorder="1"/>
    <xf numFmtId="0" fontId="18" fillId="0" borderId="4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72" fillId="0" borderId="0" xfId="207" applyFont="1"/>
    <xf numFmtId="0" fontId="73" fillId="0" borderId="0" xfId="207" applyFont="1"/>
    <xf numFmtId="0" fontId="73" fillId="0" borderId="0" xfId="207" applyFont="1" applyAlignment="1">
      <alignment horizontal="right"/>
    </xf>
    <xf numFmtId="0" fontId="77" fillId="0" borderId="0" xfId="207" applyFont="1"/>
    <xf numFmtId="9" fontId="73" fillId="0" borderId="0" xfId="23" applyFont="1"/>
    <xf numFmtId="0" fontId="17" fillId="0" borderId="0" xfId="211" applyFont="1" applyAlignment="1">
      <alignment horizontal="left" indent="1"/>
    </xf>
    <xf numFmtId="0" fontId="41" fillId="0" borderId="0" xfId="211" applyFont="1"/>
    <xf numFmtId="168" fontId="17" fillId="0" borderId="0" xfId="211" applyNumberFormat="1" applyFont="1"/>
    <xf numFmtId="0" fontId="59" fillId="0" borderId="47" xfId="211" applyFont="1" applyBorder="1"/>
    <xf numFmtId="168" fontId="55" fillId="0" borderId="80" xfId="211" applyNumberFormat="1" applyFont="1" applyBorder="1" applyProtection="1">
      <protection locked="0"/>
    </xf>
    <xf numFmtId="168" fontId="41" fillId="0" borderId="80" xfId="211" applyNumberFormat="1" applyFont="1" applyBorder="1" applyProtection="1">
      <protection locked="0"/>
    </xf>
    <xf numFmtId="167" fontId="73" fillId="0" borderId="0" xfId="5" applyNumberFormat="1" applyFont="1"/>
    <xf numFmtId="41" fontId="18" fillId="0" borderId="0" xfId="0" applyNumberFormat="1" applyFont="1" applyFill="1" applyBorder="1" applyProtection="1"/>
    <xf numFmtId="10" fontId="72" fillId="0" borderId="0" xfId="23" applyNumberFormat="1" applyFont="1"/>
    <xf numFmtId="0" fontId="52" fillId="0" borderId="0" xfId="0" applyFont="1" applyFill="1" applyBorder="1" applyAlignment="1">
      <alignment horizontal="left" indent="1"/>
    </xf>
    <xf numFmtId="42" fontId="21" fillId="11" borderId="26" xfId="0" applyNumberFormat="1" applyFont="1" applyFill="1" applyBorder="1" applyAlignment="1"/>
    <xf numFmtId="41" fontId="19" fillId="0" borderId="47" xfId="5" applyNumberFormat="1" applyFont="1" applyBorder="1" applyAlignment="1" applyProtection="1">
      <protection locked="0"/>
    </xf>
    <xf numFmtId="42" fontId="21" fillId="9" borderId="24" xfId="0" applyNumberFormat="1" applyFont="1" applyFill="1" applyBorder="1" applyProtection="1"/>
    <xf numFmtId="42" fontId="11" fillId="9" borderId="24" xfId="0" applyNumberFormat="1" applyFont="1" applyFill="1" applyBorder="1" applyProtection="1"/>
    <xf numFmtId="42" fontId="21" fillId="9" borderId="20" xfId="0" applyNumberFormat="1" applyFont="1" applyFill="1" applyBorder="1" applyProtection="1"/>
    <xf numFmtId="42" fontId="11" fillId="9" borderId="71" xfId="0" applyNumberFormat="1" applyFont="1" applyFill="1" applyBorder="1" applyProtection="1"/>
    <xf numFmtId="42" fontId="11" fillId="9" borderId="25" xfId="0" applyNumberFormat="1" applyFont="1" applyFill="1" applyBorder="1" applyProtection="1"/>
    <xf numFmtId="42" fontId="11" fillId="9" borderId="24" xfId="0" applyNumberFormat="1" applyFont="1" applyFill="1" applyBorder="1"/>
    <xf numFmtId="42" fontId="11" fillId="9" borderId="71" xfId="0" applyNumberFormat="1" applyFont="1" applyFill="1" applyBorder="1"/>
    <xf numFmtId="42" fontId="11" fillId="9" borderId="71" xfId="0" applyNumberFormat="1" applyFont="1" applyFill="1" applyBorder="1" applyAlignment="1"/>
    <xf numFmtId="42" fontId="11" fillId="9" borderId="46" xfId="0" applyNumberFormat="1" applyFont="1" applyFill="1" applyBorder="1"/>
    <xf numFmtId="42" fontId="21" fillId="9" borderId="71" xfId="0" applyNumberFormat="1" applyFont="1" applyFill="1" applyBorder="1" applyProtection="1"/>
    <xf numFmtId="42" fontId="11" fillId="9" borderId="24" xfId="0" applyNumberFormat="1" applyFont="1" applyFill="1" applyBorder="1" applyAlignment="1"/>
    <xf numFmtId="42" fontId="21" fillId="9" borderId="20" xfId="0" applyNumberFormat="1" applyFont="1" applyFill="1" applyBorder="1" applyAlignment="1"/>
    <xf numFmtId="42" fontId="11" fillId="9" borderId="0" xfId="0" applyNumberFormat="1" applyFont="1" applyFill="1" applyBorder="1" applyAlignment="1"/>
    <xf numFmtId="42" fontId="21" fillId="9" borderId="26" xfId="0" applyNumberFormat="1" applyFont="1" applyFill="1" applyBorder="1" applyAlignment="1"/>
    <xf numFmtId="42" fontId="11" fillId="9" borderId="46" xfId="0" applyNumberFormat="1" applyFont="1" applyFill="1" applyBorder="1" applyAlignment="1"/>
    <xf numFmtId="42" fontId="11" fillId="9" borderId="31" xfId="0" applyNumberFormat="1" applyFont="1" applyFill="1" applyBorder="1" applyAlignment="1"/>
    <xf numFmtId="42" fontId="21" fillId="9" borderId="24" xfId="0" applyNumberFormat="1" applyFont="1" applyFill="1" applyBorder="1" applyAlignment="1"/>
    <xf numFmtId="42" fontId="21" fillId="9" borderId="71" xfId="0" applyNumberFormat="1" applyFont="1" applyFill="1" applyBorder="1" applyAlignment="1"/>
    <xf numFmtId="42" fontId="21" fillId="9" borderId="31" xfId="0" applyNumberFormat="1" applyFont="1" applyFill="1" applyBorder="1" applyProtection="1"/>
    <xf numFmtId="0" fontId="16" fillId="0" borderId="69" xfId="0" applyFont="1" applyBorder="1"/>
    <xf numFmtId="37" fontId="23" fillId="0" borderId="70" xfId="0" applyNumberFormat="1" applyFont="1" applyFill="1" applyBorder="1" applyProtection="1"/>
    <xf numFmtId="0" fontId="18" fillId="0" borderId="69" xfId="0" applyFont="1" applyFill="1" applyBorder="1"/>
    <xf numFmtId="0" fontId="63" fillId="0" borderId="0" xfId="0" applyFont="1" applyBorder="1"/>
    <xf numFmtId="0" fontId="19" fillId="0" borderId="60" xfId="0" applyFont="1" applyFill="1" applyBorder="1"/>
    <xf numFmtId="0" fontId="32" fillId="0" borderId="70" xfId="0" applyFont="1" applyFill="1" applyBorder="1"/>
    <xf numFmtId="0" fontId="42" fillId="0" borderId="70" xfId="0" applyFont="1" applyFill="1" applyBorder="1"/>
    <xf numFmtId="0" fontId="16" fillId="0" borderId="57" xfId="0" applyFont="1" applyBorder="1"/>
    <xf numFmtId="0" fontId="18" fillId="0" borderId="72" xfId="0" applyFont="1" applyFill="1" applyBorder="1" applyAlignment="1"/>
    <xf numFmtId="0" fontId="18" fillId="0" borderId="72" xfId="0" applyFont="1" applyBorder="1"/>
    <xf numFmtId="169" fontId="18" fillId="10" borderId="82" xfId="23" applyNumberFormat="1" applyFont="1" applyFill="1" applyBorder="1" applyProtection="1"/>
    <xf numFmtId="0" fontId="18" fillId="0" borderId="34" xfId="0" applyFont="1" applyBorder="1"/>
    <xf numFmtId="169" fontId="23" fillId="0" borderId="69" xfId="0" applyNumberFormat="1" applyFont="1" applyFill="1" applyBorder="1" applyProtection="1"/>
    <xf numFmtId="37" fontId="22" fillId="0" borderId="69" xfId="0" applyNumberFormat="1" applyFont="1" applyFill="1" applyBorder="1" applyAlignment="1" applyProtection="1"/>
    <xf numFmtId="0" fontId="16" fillId="0" borderId="35" xfId="0" applyFont="1" applyBorder="1"/>
    <xf numFmtId="0" fontId="19" fillId="0" borderId="60" xfId="0" applyFont="1" applyBorder="1" applyAlignment="1">
      <alignment horizontal="left"/>
    </xf>
    <xf numFmtId="0" fontId="16" fillId="0" borderId="83" xfId="0" applyFont="1" applyBorder="1"/>
    <xf numFmtId="0" fontId="16" fillId="0" borderId="83" xfId="0" applyFont="1" applyBorder="1" applyAlignment="1">
      <alignment horizontal="center" vertical="center" wrapText="1"/>
    </xf>
    <xf numFmtId="0" fontId="16" fillId="0" borderId="72" xfId="0" applyFont="1" applyBorder="1"/>
    <xf numFmtId="0" fontId="22" fillId="0" borderId="34" xfId="0" applyFont="1" applyBorder="1" applyProtection="1"/>
    <xf numFmtId="0" fontId="22" fillId="0" borderId="69" xfId="0" applyFont="1" applyBorder="1" applyAlignment="1" applyProtection="1">
      <alignment horizontal="right"/>
    </xf>
    <xf numFmtId="167" fontId="18" fillId="10" borderId="84" xfId="0" applyNumberFormat="1" applyFont="1" applyFill="1" applyBorder="1" applyAlignment="1">
      <alignment horizontal="center"/>
    </xf>
    <xf numFmtId="167" fontId="22" fillId="0" borderId="69" xfId="5" applyNumberFormat="1" applyFont="1" applyBorder="1" applyAlignment="1" applyProtection="1">
      <alignment horizontal="right"/>
    </xf>
    <xf numFmtId="167" fontId="22" fillId="0" borderId="69" xfId="5" applyNumberFormat="1" applyFont="1" applyBorder="1" applyAlignment="1" applyProtection="1">
      <alignment horizontal="left"/>
    </xf>
    <xf numFmtId="0" fontId="19" fillId="0" borderId="60" xfId="0" applyFont="1" applyBorder="1"/>
    <xf numFmtId="0" fontId="22" fillId="0" borderId="83" xfId="0" applyFont="1" applyBorder="1" applyProtection="1"/>
    <xf numFmtId="0" fontId="22" fillId="0" borderId="83" xfId="0" applyFont="1" applyBorder="1" applyAlignment="1" applyProtection="1">
      <alignment horizontal="center"/>
    </xf>
    <xf numFmtId="10" fontId="18" fillId="0" borderId="85" xfId="0" applyNumberFormat="1" applyFont="1" applyFill="1" applyBorder="1"/>
    <xf numFmtId="169" fontId="18" fillId="10" borderId="82" xfId="0" applyNumberFormat="1" applyFont="1" applyFill="1" applyBorder="1" applyProtection="1"/>
    <xf numFmtId="0" fontId="22" fillId="0" borderId="85" xfId="0" applyFont="1" applyBorder="1" applyAlignment="1" applyProtection="1">
      <alignment horizontal="right"/>
    </xf>
    <xf numFmtId="164" fontId="18" fillId="10" borderId="82" xfId="0" applyNumberFormat="1" applyFont="1" applyFill="1" applyBorder="1" applyProtection="1"/>
    <xf numFmtId="0" fontId="22" fillId="0" borderId="72" xfId="0" applyFont="1" applyBorder="1" applyAlignment="1" applyProtection="1">
      <alignment horizontal="right"/>
    </xf>
    <xf numFmtId="37" fontId="22" fillId="0" borderId="72" xfId="0" applyNumberFormat="1" applyFont="1" applyBorder="1" applyProtection="1"/>
    <xf numFmtId="37" fontId="22" fillId="0" borderId="34" xfId="0" applyNumberFormat="1" applyFont="1" applyBorder="1" applyProtection="1"/>
    <xf numFmtId="2" fontId="18" fillId="0" borderId="69" xfId="0" applyNumberFormat="1" applyFont="1" applyFill="1" applyBorder="1"/>
    <xf numFmtId="2" fontId="18" fillId="0" borderId="69" xfId="0" applyNumberFormat="1" applyFont="1" applyBorder="1"/>
    <xf numFmtId="174" fontId="18" fillId="0" borderId="35" xfId="0" applyNumberFormat="1" applyFont="1" applyBorder="1"/>
    <xf numFmtId="170" fontId="19" fillId="0" borderId="0" xfId="1" applyNumberFormat="1" applyFont="1" applyBorder="1"/>
    <xf numFmtId="10" fontId="18" fillId="0" borderId="69" xfId="0" applyNumberFormat="1" applyFont="1" applyFill="1" applyBorder="1" applyProtection="1"/>
    <xf numFmtId="37" fontId="23" fillId="0" borderId="60" xfId="0" applyNumberFormat="1" applyFont="1" applyBorder="1" applyProtection="1"/>
    <xf numFmtId="0" fontId="18" fillId="0" borderId="83" xfId="0" applyFont="1" applyBorder="1"/>
    <xf numFmtId="0" fontId="16" fillId="0" borderId="34" xfId="0" applyFont="1" applyBorder="1"/>
    <xf numFmtId="0" fontId="18" fillId="0" borderId="69" xfId="0" applyFont="1" applyBorder="1" applyAlignment="1">
      <alignment horizontal="right"/>
    </xf>
    <xf numFmtId="10" fontId="18" fillId="10" borderId="86" xfId="0" applyNumberFormat="1" applyFont="1" applyFill="1" applyBorder="1" applyProtection="1"/>
    <xf numFmtId="10" fontId="18" fillId="0" borderId="69" xfId="23" applyNumberFormat="1" applyFont="1" applyFill="1" applyBorder="1" applyProtection="1"/>
    <xf numFmtId="10" fontId="11" fillId="5" borderId="64" xfId="22" applyNumberFormat="1" applyFont="1" applyFill="1" applyBorder="1" applyProtection="1">
      <protection locked="0"/>
    </xf>
    <xf numFmtId="167" fontId="11" fillId="5" borderId="64" xfId="5" applyNumberFormat="1" applyFont="1" applyFill="1" applyBorder="1" applyProtection="1">
      <protection locked="0"/>
    </xf>
    <xf numFmtId="44" fontId="11" fillId="5" borderId="64" xfId="5" applyFont="1" applyFill="1" applyBorder="1" applyProtection="1">
      <protection locked="0"/>
    </xf>
    <xf numFmtId="9" fontId="11" fillId="5" borderId="64" xfId="22" applyNumberFormat="1" applyFont="1" applyFill="1" applyBorder="1" applyProtection="1">
      <protection locked="0"/>
    </xf>
    <xf numFmtId="172" fontId="11" fillId="5" borderId="64" xfId="1" applyNumberFormat="1" applyFont="1" applyFill="1" applyBorder="1" applyProtection="1">
      <protection locked="0"/>
    </xf>
    <xf numFmtId="39" fontId="11" fillId="5" borderId="64" xfId="22" applyNumberFormat="1" applyFont="1" applyFill="1" applyBorder="1" applyProtection="1">
      <protection locked="0"/>
    </xf>
    <xf numFmtId="0" fontId="17" fillId="0" borderId="85" xfId="0" applyFont="1" applyBorder="1" applyProtection="1"/>
    <xf numFmtId="167" fontId="0" fillId="0" borderId="0" xfId="5" applyNumberFormat="1" applyFont="1"/>
    <xf numFmtId="10" fontId="18" fillId="0" borderId="0" xfId="0" applyNumberFormat="1" applyFont="1"/>
    <xf numFmtId="42" fontId="18" fillId="0" borderId="69" xfId="0" applyNumberFormat="1" applyFont="1" applyBorder="1"/>
    <xf numFmtId="10" fontId="18" fillId="0" borderId="69" xfId="0" applyNumberFormat="1" applyFont="1" applyBorder="1"/>
    <xf numFmtId="168" fontId="21" fillId="9" borderId="71" xfId="0" applyNumberFormat="1" applyFont="1" applyFill="1" applyBorder="1" applyAlignment="1"/>
    <xf numFmtId="9" fontId="18" fillId="0" borderId="0" xfId="23" applyFont="1"/>
    <xf numFmtId="41" fontId="18" fillId="0" borderId="0" xfId="0" applyNumberFormat="1" applyFont="1"/>
    <xf numFmtId="166" fontId="18" fillId="0" borderId="0" xfId="23" applyNumberFormat="1" applyFont="1" applyAlignment="1">
      <alignment horizontal="left"/>
    </xf>
    <xf numFmtId="166" fontId="52" fillId="0" borderId="0" xfId="23" applyNumberFormat="1" applyFont="1" applyBorder="1"/>
    <xf numFmtId="6" fontId="0" fillId="0" borderId="0" xfId="0" applyNumberFormat="1"/>
    <xf numFmtId="0" fontId="16" fillId="0" borderId="0" xfId="0" applyFont="1" applyAlignment="1">
      <alignment horizontal="center" vertical="center" wrapText="1"/>
    </xf>
    <xf numFmtId="44" fontId="0" fillId="0" borderId="0" xfId="5" applyFont="1"/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4" fontId="16" fillId="0" borderId="0" xfId="5" applyFont="1" applyBorder="1" applyAlignment="1">
      <alignment horizontal="center" vertical="center"/>
    </xf>
    <xf numFmtId="44" fontId="16" fillId="0" borderId="0" xfId="5" applyFont="1" applyFill="1" applyBorder="1" applyAlignment="1">
      <alignment horizontal="center" vertical="center"/>
    </xf>
    <xf numFmtId="9" fontId="0" fillId="0" borderId="0" xfId="23" applyFont="1"/>
    <xf numFmtId="0" fontId="0" fillId="0" borderId="64" xfId="0" applyBorder="1"/>
    <xf numFmtId="37" fontId="0" fillId="0" borderId="64" xfId="0" applyNumberFormat="1" applyBorder="1"/>
    <xf numFmtId="6" fontId="0" fillId="0" borderId="64" xfId="0" applyNumberFormat="1" applyBorder="1"/>
    <xf numFmtId="167" fontId="0" fillId="0" borderId="0" xfId="5" applyNumberFormat="1" applyFont="1" applyAlignment="1">
      <alignment horizontal="center" vertical="center"/>
    </xf>
    <xf numFmtId="0" fontId="73" fillId="0" borderId="0" xfId="212" applyFont="1"/>
    <xf numFmtId="0" fontId="59" fillId="0" borderId="87" xfId="211" applyFont="1" applyBorder="1"/>
    <xf numFmtId="168" fontId="17" fillId="0" borderId="69" xfId="211" applyNumberFormat="1" applyFont="1" applyBorder="1"/>
    <xf numFmtId="168" fontId="73" fillId="0" borderId="0" xfId="212" applyNumberFormat="1" applyFont="1"/>
    <xf numFmtId="0" fontId="79" fillId="0" borderId="0" xfId="212" applyFont="1"/>
    <xf numFmtId="168" fontId="72" fillId="0" borderId="0" xfId="212" applyNumberFormat="1" applyFont="1"/>
    <xf numFmtId="0" fontId="72" fillId="0" borderId="0" xfId="212" applyFont="1"/>
    <xf numFmtId="0" fontId="79" fillId="0" borderId="0" xfId="212" applyFont="1" applyAlignment="1">
      <alignment horizontal="left" indent="2"/>
    </xf>
    <xf numFmtId="167" fontId="73" fillId="0" borderId="0" xfId="212" applyNumberFormat="1" applyFont="1"/>
    <xf numFmtId="0" fontId="77" fillId="0" borderId="0" xfId="212" applyFont="1"/>
    <xf numFmtId="167" fontId="89" fillId="0" borderId="0" xfId="212" applyNumberFormat="1" applyFont="1"/>
    <xf numFmtId="0" fontId="77" fillId="0" borderId="0" xfId="212" applyFont="1" applyAlignment="1">
      <alignment horizontal="left" indent="2"/>
    </xf>
    <xf numFmtId="167" fontId="73" fillId="0" borderId="0" xfId="212" applyNumberFormat="1" applyFont="1" applyProtection="1">
      <protection locked="0"/>
    </xf>
    <xf numFmtId="167" fontId="87" fillId="0" borderId="0" xfId="213" applyNumberFormat="1" applyFont="1"/>
    <xf numFmtId="0" fontId="86" fillId="0" borderId="0" xfId="212" applyFont="1"/>
    <xf numFmtId="167" fontId="80" fillId="0" borderId="0" xfId="213" applyNumberFormat="1" applyFont="1"/>
    <xf numFmtId="167" fontId="76" fillId="0" borderId="0" xfId="213" applyNumberFormat="1" applyFont="1"/>
    <xf numFmtId="0" fontId="75" fillId="0" borderId="0" xfId="212" applyFont="1" applyAlignment="1">
      <alignment horizontal="left" indent="2"/>
    </xf>
    <xf numFmtId="167" fontId="55" fillId="0" borderId="0" xfId="213" applyNumberFormat="1" applyFont="1"/>
    <xf numFmtId="167" fontId="83" fillId="0" borderId="0" xfId="213" applyNumberFormat="1" applyFont="1"/>
    <xf numFmtId="167" fontId="78" fillId="0" borderId="0" xfId="213" applyNumberFormat="1" applyFont="1" applyFill="1"/>
    <xf numFmtId="167" fontId="55" fillId="0" borderId="0" xfId="213" applyNumberFormat="1" applyFont="1" applyFill="1"/>
    <xf numFmtId="167" fontId="78" fillId="0" borderId="0" xfId="213" applyNumberFormat="1" applyFont="1"/>
    <xf numFmtId="0" fontId="73" fillId="0" borderId="0" xfId="212" applyFont="1" applyProtection="1">
      <protection locked="0"/>
    </xf>
    <xf numFmtId="167" fontId="78" fillId="0" borderId="0" xfId="213" applyNumberFormat="1" applyFont="1" applyProtection="1">
      <protection locked="0"/>
    </xf>
    <xf numFmtId="0" fontId="77" fillId="0" borderId="0" xfId="212" applyFont="1" applyProtection="1">
      <protection locked="0"/>
    </xf>
    <xf numFmtId="0" fontId="72" fillId="0" borderId="0" xfId="212" applyFont="1" applyAlignment="1" applyProtection="1">
      <alignment horizontal="center" vertical="center" wrapText="1"/>
      <protection locked="0"/>
    </xf>
    <xf numFmtId="1" fontId="76" fillId="0" borderId="0" xfId="212" applyNumberFormat="1" applyFont="1" applyAlignment="1" applyProtection="1">
      <alignment horizontal="left" vertical="center" wrapText="1"/>
      <protection locked="0"/>
    </xf>
    <xf numFmtId="0" fontId="75" fillId="0" borderId="0" xfId="212" applyFont="1" applyProtection="1">
      <protection locked="0"/>
    </xf>
    <xf numFmtId="0" fontId="39" fillId="0" borderId="0" xfId="211" applyFont="1"/>
    <xf numFmtId="0" fontId="39" fillId="3" borderId="13" xfId="211" applyFont="1" applyFill="1" applyBorder="1"/>
    <xf numFmtId="0" fontId="37" fillId="2" borderId="3" xfId="211" applyFont="1" applyFill="1" applyBorder="1"/>
    <xf numFmtId="0" fontId="37" fillId="2" borderId="0" xfId="211" applyFont="1" applyFill="1"/>
    <xf numFmtId="167" fontId="73" fillId="0" borderId="0" xfId="5" applyNumberFormat="1" applyFont="1" applyProtection="1">
      <protection locked="0"/>
    </xf>
    <xf numFmtId="0" fontId="72" fillId="0" borderId="0" xfId="212" applyFont="1" applyAlignment="1">
      <alignment horizontal="left" indent="2"/>
    </xf>
    <xf numFmtId="167" fontId="76" fillId="0" borderId="69" xfId="213" applyNumberFormat="1" applyFont="1" applyBorder="1"/>
    <xf numFmtId="0" fontId="16" fillId="0" borderId="0" xfId="211"/>
    <xf numFmtId="0" fontId="39" fillId="3" borderId="0" xfId="211" applyFont="1" applyFill="1"/>
    <xf numFmtId="0" fontId="55" fillId="0" borderId="0" xfId="211" applyFont="1"/>
    <xf numFmtId="0" fontId="91" fillId="15" borderId="39" xfId="211" applyFont="1" applyFill="1" applyBorder="1" applyAlignment="1">
      <alignment horizontal="center" vertical="center" wrapText="1"/>
    </xf>
    <xf numFmtId="0" fontId="92" fillId="0" borderId="0" xfId="211" applyFont="1" applyAlignment="1">
      <alignment horizontal="center" vertical="center" wrapText="1"/>
    </xf>
    <xf numFmtId="42" fontId="11" fillId="0" borderId="0" xfId="211" applyNumberFormat="1" applyFont="1"/>
    <xf numFmtId="0" fontId="21" fillId="0" borderId="0" xfId="211" applyFont="1"/>
    <xf numFmtId="0" fontId="91" fillId="15" borderId="40" xfId="211" applyFont="1" applyFill="1" applyBorder="1" applyAlignment="1">
      <alignment horizontal="center" vertical="center" wrapText="1"/>
    </xf>
    <xf numFmtId="0" fontId="93" fillId="0" borderId="0" xfId="211" applyFont="1" applyAlignment="1">
      <alignment horizontal="center" vertical="center" wrapText="1"/>
    </xf>
    <xf numFmtId="0" fontId="94" fillId="0" borderId="0" xfId="211" applyFont="1" applyAlignment="1">
      <alignment horizontal="center" vertical="center" wrapText="1"/>
    </xf>
    <xf numFmtId="0" fontId="94" fillId="0" borderId="0" xfId="211" applyFont="1" applyAlignment="1">
      <alignment vertical="center"/>
    </xf>
    <xf numFmtId="0" fontId="94" fillId="0" borderId="0" xfId="211" applyFont="1" applyAlignment="1">
      <alignment vertical="center" wrapText="1"/>
    </xf>
    <xf numFmtId="0" fontId="91" fillId="15" borderId="88" xfId="211" applyFont="1" applyFill="1" applyBorder="1" applyAlignment="1">
      <alignment horizontal="center" vertical="center" wrapText="1"/>
    </xf>
    <xf numFmtId="0" fontId="95" fillId="0" borderId="0" xfId="211" applyFont="1" applyAlignment="1">
      <alignment vertical="center" wrapText="1"/>
    </xf>
    <xf numFmtId="0" fontId="43" fillId="0" borderId="0" xfId="211" applyFont="1"/>
    <xf numFmtId="0" fontId="92" fillId="0" borderId="40" xfId="211" applyFont="1" applyBorder="1" applyAlignment="1">
      <alignment horizontal="center" vertical="center" wrapText="1"/>
    </xf>
    <xf numFmtId="0" fontId="92" fillId="0" borderId="81" xfId="211" applyFont="1" applyBorder="1" applyAlignment="1">
      <alignment horizontal="center" vertical="center" wrapText="1"/>
    </xf>
    <xf numFmtId="0" fontId="92" fillId="0" borderId="81" xfId="211" applyFont="1" applyBorder="1" applyAlignment="1">
      <alignment horizontal="center" vertical="center"/>
    </xf>
    <xf numFmtId="14" fontId="92" fillId="0" borderId="3" xfId="211" applyNumberFormat="1" applyFont="1" applyBorder="1" applyAlignment="1">
      <alignment horizontal="center" vertical="center" wrapText="1"/>
    </xf>
    <xf numFmtId="168" fontId="92" fillId="0" borderId="89" xfId="211" applyNumberFormat="1" applyFont="1" applyBorder="1" applyAlignment="1">
      <alignment horizontal="center" vertical="center" wrapText="1"/>
    </xf>
    <xf numFmtId="170" fontId="11" fillId="0" borderId="0" xfId="1" applyNumberFormat="1" applyFont="1" applyBorder="1" applyAlignment="1">
      <alignment horizontal="center" vertical="center"/>
    </xf>
    <xf numFmtId="0" fontId="96" fillId="0" borderId="90" xfId="211" applyFont="1" applyBorder="1" applyAlignment="1">
      <alignment vertical="center" wrapText="1"/>
    </xf>
    <xf numFmtId="0" fontId="96" fillId="0" borderId="91" xfId="211" applyFont="1" applyBorder="1" applyAlignment="1">
      <alignment vertical="center" wrapText="1"/>
    </xf>
    <xf numFmtId="0" fontId="96" fillId="0" borderId="92" xfId="211" applyFont="1" applyBorder="1" applyAlignment="1">
      <alignment vertical="center" wrapText="1"/>
    </xf>
    <xf numFmtId="10" fontId="11" fillId="0" borderId="93" xfId="23" applyNumberFormat="1" applyFont="1" applyBorder="1"/>
    <xf numFmtId="170" fontId="11" fillId="0" borderId="93" xfId="1" applyNumberFormat="1" applyFont="1" applyBorder="1"/>
    <xf numFmtId="0" fontId="11" fillId="0" borderId="0" xfId="211" applyFont="1"/>
    <xf numFmtId="170" fontId="11" fillId="0" borderId="90" xfId="1" applyNumberFormat="1" applyFont="1" applyBorder="1"/>
    <xf numFmtId="170" fontId="11" fillId="0" borderId="91" xfId="1" applyNumberFormat="1" applyFont="1" applyBorder="1"/>
    <xf numFmtId="170" fontId="11" fillId="0" borderId="94" xfId="211" applyNumberFormat="1" applyFont="1" applyBorder="1"/>
    <xf numFmtId="0" fontId="97" fillId="16" borderId="89" xfId="212" applyFont="1" applyFill="1" applyBorder="1" applyAlignment="1">
      <alignment horizontal="left" indent="1"/>
    </xf>
    <xf numFmtId="9" fontId="92" fillId="0" borderId="81" xfId="23" applyFont="1" applyBorder="1" applyAlignment="1">
      <alignment horizontal="center" vertical="center" wrapText="1"/>
    </xf>
    <xf numFmtId="1" fontId="92" fillId="0" borderId="81" xfId="211" quotePrefix="1" applyNumberFormat="1" applyFont="1" applyBorder="1" applyAlignment="1">
      <alignment horizontal="center" vertical="center" wrapText="1"/>
    </xf>
    <xf numFmtId="14" fontId="92" fillId="0" borderId="81" xfId="211" applyNumberFormat="1" applyFont="1" applyBorder="1" applyAlignment="1">
      <alignment horizontal="center" vertical="center" wrapText="1"/>
    </xf>
    <xf numFmtId="0" fontId="96" fillId="0" borderId="95" xfId="211" applyFont="1" applyBorder="1" applyAlignment="1">
      <alignment vertical="center" wrapText="1"/>
    </xf>
    <xf numFmtId="10" fontId="11" fillId="0" borderId="96" xfId="23" applyNumberFormat="1" applyFont="1" applyBorder="1"/>
    <xf numFmtId="170" fontId="11" fillId="0" borderId="96" xfId="1" applyNumberFormat="1" applyFont="1" applyBorder="1"/>
    <xf numFmtId="170" fontId="11" fillId="0" borderId="92" xfId="1" applyNumberFormat="1" applyFont="1" applyBorder="1"/>
    <xf numFmtId="170" fontId="11" fillId="0" borderId="95" xfId="1" applyNumberFormat="1" applyFont="1" applyBorder="1"/>
    <xf numFmtId="170" fontId="11" fillId="0" borderId="97" xfId="211" applyNumberFormat="1" applyFont="1" applyBorder="1"/>
    <xf numFmtId="1" fontId="92" fillId="0" borderId="81" xfId="211" applyNumberFormat="1" applyFont="1" applyBorder="1" applyAlignment="1">
      <alignment horizontal="center" vertical="center" wrapText="1"/>
    </xf>
    <xf numFmtId="0" fontId="97" fillId="14" borderId="89" xfId="212" applyFont="1" applyFill="1" applyBorder="1" applyAlignment="1">
      <alignment horizontal="left" indent="1"/>
    </xf>
    <xf numFmtId="0" fontId="97" fillId="11" borderId="89" xfId="212" applyFont="1" applyFill="1" applyBorder="1" applyAlignment="1">
      <alignment horizontal="left" indent="1"/>
    </xf>
    <xf numFmtId="0" fontId="97" fillId="10" borderId="89" xfId="212" applyFont="1" applyFill="1" applyBorder="1" applyAlignment="1">
      <alignment horizontal="left" indent="1"/>
    </xf>
    <xf numFmtId="10" fontId="21" fillId="0" borderId="0" xfId="211" applyNumberFormat="1" applyFont="1"/>
    <xf numFmtId="170" fontId="21" fillId="0" borderId="0" xfId="211" applyNumberFormat="1" applyFont="1"/>
    <xf numFmtId="0" fontId="46" fillId="0" borderId="0" xfId="211" applyFont="1"/>
    <xf numFmtId="167" fontId="11" fillId="0" borderId="0" xfId="211" applyNumberFormat="1" applyFont="1"/>
    <xf numFmtId="170" fontId="11" fillId="0" borderId="0" xfId="211" applyNumberFormat="1" applyFont="1"/>
    <xf numFmtId="0" fontId="43" fillId="0" borderId="0" xfId="211" applyFont="1" applyAlignment="1">
      <alignment wrapText="1"/>
    </xf>
    <xf numFmtId="14" fontId="16" fillId="0" borderId="0" xfId="211" applyNumberFormat="1"/>
    <xf numFmtId="43" fontId="11" fillId="0" borderId="0" xfId="211" applyNumberFormat="1" applyFont="1"/>
    <xf numFmtId="43" fontId="0" fillId="0" borderId="0" xfId="1" applyFont="1"/>
    <xf numFmtId="167" fontId="73" fillId="0" borderId="0" xfId="5" applyNumberFormat="1" applyFont="1" applyFill="1"/>
    <xf numFmtId="0" fontId="72" fillId="0" borderId="0" xfId="214" applyFont="1"/>
    <xf numFmtId="0" fontId="73" fillId="0" borderId="0" xfId="214" applyFont="1"/>
    <xf numFmtId="0" fontId="73" fillId="0" borderId="0" xfId="214" applyFont="1" applyAlignment="1">
      <alignment horizontal="right"/>
    </xf>
    <xf numFmtId="14" fontId="74" fillId="0" borderId="0" xfId="214" applyNumberFormat="1" applyFont="1" applyAlignment="1">
      <alignment horizontal="left" wrapText="1"/>
    </xf>
    <xf numFmtId="14" fontId="55" fillId="0" borderId="0" xfId="214" applyNumberFormat="1" applyFont="1" applyAlignment="1">
      <alignment horizontal="left" wrapText="1"/>
    </xf>
    <xf numFmtId="14" fontId="73" fillId="0" borderId="0" xfId="214" applyNumberFormat="1" applyFont="1"/>
    <xf numFmtId="0" fontId="72" fillId="0" borderId="0" xfId="214" applyFont="1" applyAlignment="1">
      <alignment horizontal="center" wrapText="1"/>
    </xf>
    <xf numFmtId="0" fontId="72" fillId="0" borderId="48" xfId="214" applyFont="1" applyBorder="1" applyAlignment="1">
      <alignment horizontal="center"/>
    </xf>
    <xf numFmtId="0" fontId="72" fillId="0" borderId="99" xfId="214" applyFont="1" applyBorder="1" applyAlignment="1">
      <alignment horizontal="center"/>
    </xf>
    <xf numFmtId="0" fontId="72" fillId="0" borderId="49" xfId="214" applyFont="1" applyBorder="1" applyAlignment="1">
      <alignment horizontal="center"/>
    </xf>
    <xf numFmtId="14" fontId="73" fillId="0" borderId="100" xfId="214" applyNumberFormat="1" applyFont="1" applyBorder="1"/>
    <xf numFmtId="14" fontId="73" fillId="0" borderId="101" xfId="214" applyNumberFormat="1" applyFont="1" applyBorder="1"/>
    <xf numFmtId="14" fontId="73" fillId="0" borderId="98" xfId="214" applyNumberFormat="1" applyFont="1" applyBorder="1"/>
    <xf numFmtId="14" fontId="73" fillId="0" borderId="13" xfId="214" applyNumberFormat="1" applyFont="1" applyBorder="1"/>
    <xf numFmtId="14" fontId="73" fillId="0" borderId="102" xfId="214" applyNumberFormat="1" applyFont="1" applyBorder="1"/>
    <xf numFmtId="0" fontId="73" fillId="0" borderId="0" xfId="214" applyFont="1" applyAlignment="1">
      <alignment vertical="center"/>
    </xf>
    <xf numFmtId="14" fontId="73" fillId="0" borderId="0" xfId="214" applyNumberFormat="1" applyFont="1" applyAlignment="1">
      <alignment vertical="center"/>
    </xf>
    <xf numFmtId="0" fontId="72" fillId="0" borderId="0" xfId="214" applyFont="1" applyAlignment="1">
      <alignment vertical="center" wrapText="1"/>
    </xf>
    <xf numFmtId="0" fontId="72" fillId="0" borderId="0" xfId="214" applyFont="1" applyAlignment="1">
      <alignment horizontal="right" vertical="center"/>
    </xf>
    <xf numFmtId="9" fontId="73" fillId="0" borderId="75" xfId="215" applyFont="1" applyBorder="1" applyAlignment="1">
      <alignment vertical="center"/>
    </xf>
    <xf numFmtId="9" fontId="73" fillId="0" borderId="73" xfId="214" applyNumberFormat="1" applyFont="1" applyBorder="1" applyAlignment="1">
      <alignment vertical="center"/>
    </xf>
    <xf numFmtId="9" fontId="73" fillId="0" borderId="75" xfId="214" applyNumberFormat="1" applyFont="1" applyBorder="1" applyAlignment="1">
      <alignment vertical="center"/>
    </xf>
    <xf numFmtId="9" fontId="73" fillId="0" borderId="55" xfId="214" applyNumberFormat="1" applyFont="1" applyBorder="1" applyAlignment="1">
      <alignment vertical="center"/>
    </xf>
    <xf numFmtId="9" fontId="73" fillId="0" borderId="0" xfId="214" applyNumberFormat="1" applyFont="1" applyAlignment="1">
      <alignment vertical="center"/>
    </xf>
    <xf numFmtId="9" fontId="73" fillId="0" borderId="76" xfId="214" applyNumberFormat="1" applyFont="1" applyBorder="1" applyAlignment="1">
      <alignment vertical="center"/>
    </xf>
    <xf numFmtId="0" fontId="75" fillId="0" borderId="0" xfId="214" applyFont="1" applyAlignment="1">
      <alignment vertical="center"/>
    </xf>
    <xf numFmtId="1" fontId="76" fillId="0" borderId="0" xfId="214" applyNumberFormat="1" applyFont="1" applyAlignment="1">
      <alignment horizontal="left" vertical="center" wrapText="1"/>
    </xf>
    <xf numFmtId="9" fontId="73" fillId="0" borderId="73" xfId="215" applyFont="1" applyBorder="1" applyAlignment="1">
      <alignment vertical="center"/>
    </xf>
    <xf numFmtId="9" fontId="73" fillId="0" borderId="55" xfId="215" applyFont="1" applyBorder="1" applyAlignment="1">
      <alignment vertical="center"/>
    </xf>
    <xf numFmtId="9" fontId="73" fillId="0" borderId="0" xfId="215" applyFont="1" applyBorder="1" applyAlignment="1">
      <alignment vertical="center"/>
    </xf>
    <xf numFmtId="9" fontId="73" fillId="0" borderId="76" xfId="215" applyFont="1" applyBorder="1" applyAlignment="1">
      <alignment vertical="center"/>
    </xf>
    <xf numFmtId="0" fontId="75" fillId="0" borderId="0" xfId="214" applyFont="1"/>
    <xf numFmtId="0" fontId="72" fillId="0" borderId="0" xfId="214" applyFont="1" applyAlignment="1">
      <alignment horizontal="center"/>
    </xf>
    <xf numFmtId="0" fontId="72" fillId="0" borderId="0" xfId="214" applyFont="1" applyAlignment="1">
      <alignment horizontal="right"/>
    </xf>
    <xf numFmtId="9" fontId="41" fillId="0" borderId="75" xfId="215" applyFont="1" applyBorder="1"/>
    <xf numFmtId="9" fontId="41" fillId="0" borderId="73" xfId="215" applyFont="1" applyBorder="1"/>
    <xf numFmtId="9" fontId="41" fillId="0" borderId="55" xfId="215" applyFont="1" applyBorder="1"/>
    <xf numFmtId="9" fontId="41" fillId="0" borderId="0" xfId="215" applyFont="1" applyBorder="1"/>
    <xf numFmtId="9" fontId="41" fillId="0" borderId="76" xfId="215" applyFont="1" applyBorder="1"/>
    <xf numFmtId="0" fontId="77" fillId="0" borderId="0" xfId="214" applyFont="1"/>
    <xf numFmtId="167" fontId="78" fillId="0" borderId="0" xfId="216" applyNumberFormat="1" applyFont="1"/>
    <xf numFmtId="0" fontId="41" fillId="0" borderId="75" xfId="214" applyFont="1" applyBorder="1"/>
    <xf numFmtId="0" fontId="41" fillId="0" borderId="73" xfId="214" applyFont="1" applyBorder="1"/>
    <xf numFmtId="0" fontId="41" fillId="0" borderId="55" xfId="214" applyFont="1" applyBorder="1"/>
    <xf numFmtId="0" fontId="41" fillId="0" borderId="0" xfId="214" applyFont="1"/>
    <xf numFmtId="0" fontId="41" fillId="0" borderId="76" xfId="214" applyFont="1" applyBorder="1"/>
    <xf numFmtId="41" fontId="73" fillId="0" borderId="0" xfId="214" applyNumberFormat="1" applyFont="1"/>
    <xf numFmtId="0" fontId="79" fillId="0" borderId="0" xfId="214" applyFont="1"/>
    <xf numFmtId="0" fontId="79" fillId="0" borderId="0" xfId="214" applyFont="1" applyAlignment="1">
      <alignment horizontal="right"/>
    </xf>
    <xf numFmtId="0" fontId="75" fillId="0" borderId="0" xfId="214" applyFont="1" applyAlignment="1">
      <alignment horizontal="left" indent="2"/>
    </xf>
    <xf numFmtId="167" fontId="76" fillId="0" borderId="0" xfId="216" applyNumberFormat="1" applyFont="1"/>
    <xf numFmtId="170" fontId="41" fillId="0" borderId="75" xfId="217" applyNumberFormat="1" applyFont="1" applyBorder="1"/>
    <xf numFmtId="170" fontId="41" fillId="0" borderId="73" xfId="217" applyNumberFormat="1" applyFont="1" applyBorder="1"/>
    <xf numFmtId="170" fontId="41" fillId="0" borderId="0" xfId="217" applyNumberFormat="1" applyFont="1" applyBorder="1"/>
    <xf numFmtId="170" fontId="41" fillId="0" borderId="76" xfId="217" applyNumberFormat="1" applyFont="1" applyBorder="1"/>
    <xf numFmtId="170" fontId="41" fillId="0" borderId="55" xfId="217" applyNumberFormat="1" applyFont="1" applyBorder="1"/>
    <xf numFmtId="0" fontId="79" fillId="16" borderId="0" xfId="214" applyFont="1" applyFill="1" applyAlignment="1">
      <alignment horizontal="left" indent="2"/>
    </xf>
    <xf numFmtId="167" fontId="81" fillId="0" borderId="0" xfId="216" applyNumberFormat="1" applyFont="1"/>
    <xf numFmtId="0" fontId="79" fillId="14" borderId="0" xfId="214" applyFont="1" applyFill="1" applyAlignment="1">
      <alignment horizontal="left" indent="2"/>
    </xf>
    <xf numFmtId="0" fontId="79" fillId="11" borderId="0" xfId="214" applyFont="1" applyFill="1" applyAlignment="1">
      <alignment horizontal="left" indent="2"/>
    </xf>
    <xf numFmtId="0" fontId="79" fillId="10" borderId="0" xfId="214" applyFont="1" applyFill="1" applyAlignment="1">
      <alignment horizontal="left" indent="2"/>
    </xf>
    <xf numFmtId="0" fontId="79" fillId="0" borderId="0" xfId="214" applyFont="1" applyAlignment="1">
      <alignment horizontal="left" indent="2"/>
    </xf>
    <xf numFmtId="167" fontId="78" fillId="0" borderId="0" xfId="216" applyNumberFormat="1" applyFont="1" applyFill="1"/>
    <xf numFmtId="167" fontId="55" fillId="0" borderId="0" xfId="216" applyNumberFormat="1" applyFont="1" applyFill="1"/>
    <xf numFmtId="41" fontId="82" fillId="0" borderId="0" xfId="216" applyNumberFormat="1" applyFont="1"/>
    <xf numFmtId="0" fontId="41" fillId="0" borderId="77" xfId="214" applyFont="1" applyBorder="1"/>
    <xf numFmtId="0" fontId="41" fillId="0" borderId="78" xfId="214" applyFont="1" applyBorder="1"/>
    <xf numFmtId="0" fontId="41" fillId="0" borderId="103" xfId="214" applyFont="1" applyBorder="1"/>
    <xf numFmtId="0" fontId="41" fillId="0" borderId="3" xfId="214" applyFont="1" applyBorder="1"/>
    <xf numFmtId="170" fontId="41" fillId="0" borderId="79" xfId="217" applyNumberFormat="1" applyFont="1" applyBorder="1"/>
    <xf numFmtId="0" fontId="41" fillId="0" borderId="100" xfId="214" applyFont="1" applyBorder="1"/>
    <xf numFmtId="0" fontId="41" fillId="0" borderId="101" xfId="214" applyFont="1" applyBorder="1"/>
    <xf numFmtId="0" fontId="41" fillId="0" borderId="98" xfId="214" applyFont="1" applyBorder="1"/>
    <xf numFmtId="167" fontId="83" fillId="0" borderId="0" xfId="216" applyNumberFormat="1" applyFont="1"/>
    <xf numFmtId="167" fontId="80" fillId="0" borderId="0" xfId="216" applyNumberFormat="1" applyFont="1"/>
    <xf numFmtId="167" fontId="84" fillId="0" borderId="0" xfId="216" applyNumberFormat="1" applyFont="1"/>
    <xf numFmtId="170" fontId="41" fillId="0" borderId="75" xfId="214" applyNumberFormat="1" applyFont="1" applyBorder="1"/>
    <xf numFmtId="170" fontId="41" fillId="0" borderId="73" xfId="214" applyNumberFormat="1" applyFont="1" applyBorder="1"/>
    <xf numFmtId="170" fontId="41" fillId="0" borderId="55" xfId="214" applyNumberFormat="1" applyFont="1" applyBorder="1"/>
    <xf numFmtId="167" fontId="84" fillId="0" borderId="0" xfId="216" applyNumberFormat="1" applyFont="1" applyFill="1"/>
    <xf numFmtId="170" fontId="41" fillId="0" borderId="50" xfId="214" applyNumberFormat="1" applyFont="1" applyBorder="1"/>
    <xf numFmtId="168" fontId="41" fillId="0" borderId="75" xfId="214" applyNumberFormat="1" applyFont="1" applyBorder="1"/>
    <xf numFmtId="168" fontId="41" fillId="0" borderId="73" xfId="214" applyNumberFormat="1" applyFont="1" applyBorder="1"/>
    <xf numFmtId="168" fontId="41" fillId="0" borderId="51" xfId="214" applyNumberFormat="1" applyFont="1" applyBorder="1"/>
    <xf numFmtId="168" fontId="41" fillId="0" borderId="55" xfId="214" applyNumberFormat="1" applyFont="1" applyBorder="1"/>
    <xf numFmtId="168" fontId="41" fillId="0" borderId="76" xfId="214" applyNumberFormat="1" applyFont="1" applyBorder="1"/>
    <xf numFmtId="168" fontId="41" fillId="0" borderId="76" xfId="217" applyNumberFormat="1" applyFont="1" applyBorder="1"/>
    <xf numFmtId="168" fontId="41" fillId="0" borderId="75" xfId="217" applyNumberFormat="1" applyFont="1" applyBorder="1"/>
    <xf numFmtId="168" fontId="41" fillId="0" borderId="73" xfId="217" applyNumberFormat="1" applyFont="1" applyBorder="1"/>
    <xf numFmtId="168" fontId="73" fillId="0" borderId="0" xfId="214" applyNumberFormat="1" applyFont="1"/>
    <xf numFmtId="167" fontId="85" fillId="0" borderId="0" xfId="216" applyNumberFormat="1" applyFont="1"/>
    <xf numFmtId="167" fontId="55" fillId="0" borderId="0" xfId="216" applyNumberFormat="1" applyFont="1"/>
    <xf numFmtId="0" fontId="86" fillId="0" borderId="0" xfId="214" applyFont="1"/>
    <xf numFmtId="167" fontId="87" fillId="0" borderId="0" xfId="216" applyNumberFormat="1" applyFont="1"/>
    <xf numFmtId="167" fontId="88" fillId="0" borderId="0" xfId="216" applyNumberFormat="1" applyFont="1"/>
    <xf numFmtId="0" fontId="16" fillId="0" borderId="73" xfId="211" applyBorder="1"/>
    <xf numFmtId="0" fontId="16" fillId="0" borderId="50" xfId="211" applyBorder="1"/>
    <xf numFmtId="168" fontId="41" fillId="0" borderId="77" xfId="214" applyNumberFormat="1" applyFont="1" applyBorder="1"/>
    <xf numFmtId="168" fontId="41" fillId="0" borderId="78" xfId="214" applyNumberFormat="1" applyFont="1" applyBorder="1"/>
    <xf numFmtId="168" fontId="41" fillId="0" borderId="103" xfId="214" applyNumberFormat="1" applyFont="1" applyBorder="1"/>
    <xf numFmtId="168" fontId="41" fillId="0" borderId="79" xfId="217" applyNumberFormat="1" applyFont="1" applyBorder="1"/>
    <xf numFmtId="168" fontId="41" fillId="0" borderId="77" xfId="217" applyNumberFormat="1" applyFont="1" applyBorder="1"/>
    <xf numFmtId="168" fontId="41" fillId="0" borderId="78" xfId="217" applyNumberFormat="1" applyFont="1" applyBorder="1"/>
    <xf numFmtId="0" fontId="77" fillId="0" borderId="0" xfId="214" applyFont="1" applyAlignment="1">
      <alignment horizontal="left" indent="2"/>
    </xf>
    <xf numFmtId="167" fontId="89" fillId="0" borderId="0" xfId="214" applyNumberFormat="1" applyFont="1"/>
    <xf numFmtId="168" fontId="73" fillId="0" borderId="0" xfId="217" applyNumberFormat="1" applyFont="1"/>
    <xf numFmtId="168" fontId="72" fillId="0" borderId="0" xfId="214" applyNumberFormat="1" applyFont="1"/>
    <xf numFmtId="168" fontId="79" fillId="0" borderId="0" xfId="214" applyNumberFormat="1" applyFont="1"/>
    <xf numFmtId="168" fontId="73" fillId="0" borderId="69" xfId="214" applyNumberFormat="1" applyFont="1" applyBorder="1"/>
    <xf numFmtId="168" fontId="79" fillId="0" borderId="69" xfId="214" applyNumberFormat="1" applyFont="1" applyBorder="1"/>
    <xf numFmtId="3" fontId="73" fillId="0" borderId="0" xfId="214" applyNumberFormat="1" applyFont="1"/>
    <xf numFmtId="3" fontId="86" fillId="0" borderId="0" xfId="214" applyNumberFormat="1" applyFont="1"/>
    <xf numFmtId="168" fontId="73" fillId="0" borderId="39" xfId="214" applyNumberFormat="1" applyFont="1" applyBorder="1"/>
    <xf numFmtId="168" fontId="73" fillId="0" borderId="89" xfId="214" applyNumberFormat="1" applyFont="1" applyBorder="1"/>
    <xf numFmtId="1" fontId="72" fillId="0" borderId="0" xfId="214" applyNumberFormat="1" applyFont="1"/>
    <xf numFmtId="1" fontId="73" fillId="0" borderId="0" xfId="214" applyNumberFormat="1" applyFont="1"/>
    <xf numFmtId="14" fontId="74" fillId="0" borderId="39" xfId="214" applyNumberFormat="1" applyFont="1" applyBorder="1"/>
    <xf numFmtId="0" fontId="73" fillId="0" borderId="40" xfId="214" applyFont="1" applyBorder="1" applyAlignment="1">
      <alignment vertical="center"/>
    </xf>
    <xf numFmtId="0" fontId="41" fillId="0" borderId="40" xfId="214" applyFont="1" applyBorder="1"/>
    <xf numFmtId="170" fontId="41" fillId="0" borderId="40" xfId="217" applyNumberFormat="1" applyFont="1" applyBorder="1"/>
    <xf numFmtId="167" fontId="41" fillId="0" borderId="40" xfId="214" applyNumberFormat="1" applyFont="1" applyBorder="1"/>
    <xf numFmtId="170" fontId="41" fillId="0" borderId="40" xfId="217" applyNumberFormat="1" applyFont="1" applyBorder="1" applyAlignment="1">
      <alignment horizontal="right"/>
    </xf>
    <xf numFmtId="170" fontId="41" fillId="0" borderId="40" xfId="217" applyNumberFormat="1" applyFont="1" applyFill="1" applyBorder="1"/>
    <xf numFmtId="168" fontId="41" fillId="0" borderId="40" xfId="217" applyNumberFormat="1" applyFont="1" applyBorder="1"/>
    <xf numFmtId="168" fontId="41" fillId="0" borderId="88" xfId="217" applyNumberFormat="1" applyFont="1" applyBorder="1"/>
    <xf numFmtId="168" fontId="41" fillId="0" borderId="0" xfId="214" applyNumberFormat="1" applyFont="1" applyBorder="1"/>
    <xf numFmtId="168" fontId="41" fillId="0" borderId="50" xfId="214" applyNumberFormat="1" applyFont="1" applyBorder="1"/>
    <xf numFmtId="168" fontId="41" fillId="0" borderId="72" xfId="214" applyNumberFormat="1" applyFont="1" applyBorder="1"/>
    <xf numFmtId="168" fontId="41" fillId="0" borderId="51" xfId="217" applyNumberFormat="1" applyFont="1" applyBorder="1"/>
    <xf numFmtId="0" fontId="16" fillId="0" borderId="55" xfId="211" applyBorder="1"/>
    <xf numFmtId="168" fontId="41" fillId="0" borderId="50" xfId="217" applyNumberFormat="1" applyFont="1" applyBorder="1"/>
    <xf numFmtId="168" fontId="41" fillId="0" borderId="55" xfId="217" applyNumberFormat="1" applyFont="1" applyBorder="1"/>
    <xf numFmtId="168" fontId="41" fillId="0" borderId="0" xfId="217" applyNumberFormat="1" applyFont="1" applyBorder="1"/>
    <xf numFmtId="170" fontId="41" fillId="0" borderId="77" xfId="217" applyNumberFormat="1" applyFont="1" applyBorder="1"/>
    <xf numFmtId="170" fontId="41" fillId="0" borderId="78" xfId="217" applyNumberFormat="1" applyFont="1" applyBorder="1"/>
    <xf numFmtId="0" fontId="41" fillId="0" borderId="0" xfId="214" applyFont="1" applyBorder="1"/>
    <xf numFmtId="0" fontId="16" fillId="0" borderId="0" xfId="211" applyBorder="1"/>
    <xf numFmtId="0" fontId="73" fillId="0" borderId="73" xfId="214" applyFont="1" applyBorder="1"/>
    <xf numFmtId="0" fontId="73" fillId="0" borderId="55" xfId="214" applyFont="1" applyBorder="1"/>
    <xf numFmtId="0" fontId="72" fillId="0" borderId="104" xfId="214" applyFont="1" applyBorder="1" applyAlignment="1">
      <alignment horizontal="center"/>
    </xf>
    <xf numFmtId="0" fontId="72" fillId="0" borderId="105" xfId="214" applyFont="1" applyBorder="1" applyAlignment="1">
      <alignment horizontal="center"/>
    </xf>
    <xf numFmtId="0" fontId="0" fillId="0" borderId="106" xfId="0" applyBorder="1"/>
    <xf numFmtId="0" fontId="0" fillId="0" borderId="106" xfId="0" applyFill="1" applyBorder="1"/>
    <xf numFmtId="168" fontId="0" fillId="0" borderId="106" xfId="0" applyNumberFormat="1" applyBorder="1"/>
    <xf numFmtId="168" fontId="0" fillId="0" borderId="106" xfId="5" applyNumberFormat="1" applyFont="1" applyBorder="1"/>
    <xf numFmtId="9" fontId="0" fillId="0" borderId="106" xfId="23" applyFont="1" applyBorder="1"/>
    <xf numFmtId="0" fontId="68" fillId="0" borderId="0" xfId="0" applyFont="1"/>
    <xf numFmtId="0" fontId="0" fillId="0" borderId="0" xfId="0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9" fontId="0" fillId="10" borderId="106" xfId="0" applyNumberFormat="1" applyFill="1" applyBorder="1" applyAlignment="1">
      <alignment horizontal="center"/>
    </xf>
    <xf numFmtId="0" fontId="73" fillId="0" borderId="0" xfId="212" applyFont="1" applyAlignment="1">
      <alignment horizontal="left" indent="2"/>
    </xf>
    <xf numFmtId="41" fontId="73" fillId="0" borderId="0" xfId="212" applyNumberFormat="1" applyFont="1"/>
    <xf numFmtId="0" fontId="77" fillId="0" borderId="68" xfId="212" applyFont="1" applyBorder="1" applyAlignment="1">
      <alignment horizontal="left" indent="2"/>
    </xf>
    <xf numFmtId="0" fontId="73" fillId="0" borderId="68" xfId="212" applyFont="1" applyBorder="1"/>
    <xf numFmtId="167" fontId="89" fillId="0" borderId="68" xfId="212" applyNumberFormat="1" applyFont="1" applyBorder="1"/>
    <xf numFmtId="167" fontId="73" fillId="0" borderId="68" xfId="5" applyNumberFormat="1" applyFont="1" applyBorder="1"/>
    <xf numFmtId="0" fontId="98" fillId="0" borderId="0" xfId="214" applyFont="1"/>
    <xf numFmtId="0" fontId="99" fillId="0" borderId="0" xfId="214" applyFont="1"/>
    <xf numFmtId="168" fontId="99" fillId="0" borderId="0" xfId="214" applyNumberFormat="1" applyFont="1"/>
    <xf numFmtId="0" fontId="16" fillId="0" borderId="0" xfId="0" applyFont="1" applyBorder="1" applyAlignment="1">
      <alignment horizontal="center" wrapText="1"/>
    </xf>
    <xf numFmtId="169" fontId="41" fillId="10" borderId="106" xfId="23" applyNumberFormat="1" applyFont="1" applyFill="1" applyBorder="1"/>
    <xf numFmtId="43" fontId="11" fillId="0" borderId="0" xfId="1" applyNumberFormat="1" applyFont="1" applyBorder="1"/>
    <xf numFmtId="180" fontId="11" fillId="0" borderId="0" xfId="1" applyNumberFormat="1" applyFont="1" applyBorder="1"/>
    <xf numFmtId="168" fontId="15" fillId="0" borderId="106" xfId="5" applyNumberFormat="1" applyFont="1" applyBorder="1"/>
    <xf numFmtId="4" fontId="21" fillId="0" borderId="0" xfId="0" applyNumberFormat="1" applyFont="1" applyBorder="1"/>
    <xf numFmtId="41" fontId="61" fillId="0" borderId="0" xfId="0" applyNumberFormat="1" applyFont="1" applyBorder="1" applyAlignment="1">
      <alignment horizontal="center"/>
    </xf>
    <xf numFmtId="3" fontId="11" fillId="0" borderId="0" xfId="0" applyNumberFormat="1" applyFont="1" applyBorder="1"/>
    <xf numFmtId="42" fontId="16" fillId="0" borderId="0" xfId="0" applyNumberFormat="1" applyFont="1"/>
    <xf numFmtId="4" fontId="0" fillId="0" borderId="0" xfId="0" applyNumberFormat="1"/>
    <xf numFmtId="0" fontId="100" fillId="0" borderId="0" xfId="0" applyFont="1" applyAlignment="1">
      <alignment horizontal="left"/>
    </xf>
    <xf numFmtId="167" fontId="16" fillId="0" borderId="69" xfId="5" applyNumberFormat="1" applyFont="1" applyBorder="1"/>
    <xf numFmtId="0" fontId="0" fillId="0" borderId="69" xfId="0" applyBorder="1" applyAlignment="1">
      <alignment horizontal="right"/>
    </xf>
    <xf numFmtId="0" fontId="0" fillId="0" borderId="69" xfId="0" applyBorder="1"/>
    <xf numFmtId="167" fontId="76" fillId="0" borderId="0" xfId="213" applyNumberFormat="1" applyFont="1" applyBorder="1"/>
    <xf numFmtId="168" fontId="17" fillId="0" borderId="0" xfId="211" applyNumberFormat="1" applyFont="1" applyBorder="1"/>
    <xf numFmtId="168" fontId="55" fillId="0" borderId="0" xfId="211" applyNumberFormat="1" applyFont="1" applyBorder="1" applyProtection="1">
      <protection locked="0"/>
    </xf>
    <xf numFmtId="168" fontId="41" fillId="0" borderId="9" xfId="214" applyNumberFormat="1" applyFont="1" applyBorder="1"/>
    <xf numFmtId="167" fontId="73" fillId="0" borderId="0" xfId="214" applyNumberFormat="1" applyFont="1"/>
    <xf numFmtId="0" fontId="55" fillId="0" borderId="60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37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15" fillId="12" borderId="48" xfId="0" applyFont="1" applyFill="1" applyBorder="1" applyAlignment="1">
      <alignment horizontal="center"/>
    </xf>
    <xf numFmtId="0" fontId="15" fillId="12" borderId="49" xfId="0" applyFont="1" applyFill="1" applyBorder="1" applyAlignment="1">
      <alignment horizontal="center"/>
    </xf>
    <xf numFmtId="0" fontId="15" fillId="13" borderId="48" xfId="0" applyFont="1" applyFill="1" applyBorder="1" applyAlignment="1">
      <alignment horizontal="center"/>
    </xf>
    <xf numFmtId="0" fontId="15" fillId="13" borderId="49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right" vertical="center" wrapText="1"/>
    </xf>
    <xf numFmtId="0" fontId="11" fillId="0" borderId="34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91" fillId="15" borderId="39" xfId="211" applyFont="1" applyFill="1" applyBorder="1" applyAlignment="1">
      <alignment horizontal="center" vertical="center" wrapText="1"/>
    </xf>
    <xf numFmtId="0" fontId="91" fillId="15" borderId="40" xfId="211" applyFont="1" applyFill="1" applyBorder="1" applyAlignment="1">
      <alignment horizontal="center" vertical="center" wrapText="1"/>
    </xf>
    <xf numFmtId="0" fontId="91" fillId="15" borderId="88" xfId="211" applyFont="1" applyFill="1" applyBorder="1" applyAlignment="1">
      <alignment horizontal="center" vertical="center" wrapText="1"/>
    </xf>
    <xf numFmtId="0" fontId="90" fillId="15" borderId="39" xfId="211" applyFont="1" applyFill="1" applyBorder="1" applyAlignment="1">
      <alignment horizontal="center" vertical="center" wrapText="1"/>
    </xf>
    <xf numFmtId="0" fontId="90" fillId="15" borderId="40" xfId="211" applyFont="1" applyFill="1" applyBorder="1" applyAlignment="1">
      <alignment horizontal="center" vertical="center" wrapText="1"/>
    </xf>
    <xf numFmtId="0" fontId="90" fillId="15" borderId="88" xfId="211" applyFont="1" applyFill="1" applyBorder="1" applyAlignment="1">
      <alignment horizontal="center" vertical="center" wrapText="1"/>
    </xf>
    <xf numFmtId="0" fontId="77" fillId="0" borderId="0" xfId="212" applyFont="1" applyAlignment="1" applyProtection="1">
      <alignment horizontal="center"/>
      <protection locked="0"/>
    </xf>
    <xf numFmtId="0" fontId="73" fillId="0" borderId="0" xfId="214" applyFont="1" applyAlignment="1">
      <alignment horizontal="center"/>
    </xf>
  </cellXfs>
  <cellStyles count="218">
    <cellStyle name="Comma" xfId="1" builtinId="3"/>
    <cellStyle name="Comma 2" xfId="2" xr:uid="{00000000-0005-0000-0000-000001000000}"/>
    <cellStyle name="Comma 2 2" xfId="3" xr:uid="{00000000-0005-0000-0000-000002000000}"/>
    <cellStyle name="Comma 2 2 2" xfId="30" xr:uid="{00000000-0005-0000-0000-000003000000}"/>
    <cellStyle name="Comma 2 2 2 2" xfId="148" xr:uid="{00000000-0005-0000-0000-000004000000}"/>
    <cellStyle name="Comma 2 2 3" xfId="31" xr:uid="{00000000-0005-0000-0000-000005000000}"/>
    <cellStyle name="Comma 2 2 3 2" xfId="149" xr:uid="{00000000-0005-0000-0000-000006000000}"/>
    <cellStyle name="Comma 2 3" xfId="32" xr:uid="{00000000-0005-0000-0000-000007000000}"/>
    <cellStyle name="Comma 2 3 2" xfId="150" xr:uid="{00000000-0005-0000-0000-000008000000}"/>
    <cellStyle name="Comma 2 4" xfId="33" xr:uid="{00000000-0005-0000-0000-000009000000}"/>
    <cellStyle name="Comma 2 4 2" xfId="151" xr:uid="{00000000-0005-0000-0000-00000A000000}"/>
    <cellStyle name="Comma 2 5" xfId="132" xr:uid="{00000000-0005-0000-0000-00000B000000}"/>
    <cellStyle name="Comma 3" xfId="4" xr:uid="{00000000-0005-0000-0000-00000C000000}"/>
    <cellStyle name="Comma 3 10" xfId="130" xr:uid="{00000000-0005-0000-0000-00000D000000}"/>
    <cellStyle name="Comma 4" xfId="34" xr:uid="{00000000-0005-0000-0000-00000E000000}"/>
    <cellStyle name="Comma 4 2" xfId="152" xr:uid="{00000000-0005-0000-0000-00000F000000}"/>
    <cellStyle name="Comma 5" xfId="200" xr:uid="{00000000-0005-0000-0000-000010000000}"/>
    <cellStyle name="Comma 6" xfId="204" xr:uid="{00000000-0005-0000-0000-000011000000}"/>
    <cellStyle name="Comma 7" xfId="210" xr:uid="{A77B43DE-BE39-4FF1-A9B6-50E0CAF47D57}"/>
    <cellStyle name="Comma 7 2" xfId="217" xr:uid="{37F27DE5-1BF8-4BD3-A79B-2D4D64D1E73C}"/>
    <cellStyle name="Currency" xfId="5" builtinId="4"/>
    <cellStyle name="Currency 2" xfId="6" xr:uid="{00000000-0005-0000-0000-000013000000}"/>
    <cellStyle name="Currency 2 2" xfId="7" xr:uid="{00000000-0005-0000-0000-000014000000}"/>
    <cellStyle name="Currency 2 2 2" xfId="35" xr:uid="{00000000-0005-0000-0000-000015000000}"/>
    <cellStyle name="Currency 2 2 2 2" xfId="36" xr:uid="{00000000-0005-0000-0000-000016000000}"/>
    <cellStyle name="Currency 2 2 2 2 2" xfId="154" xr:uid="{00000000-0005-0000-0000-000017000000}"/>
    <cellStyle name="Currency 2 2 2 3" xfId="153" xr:uid="{00000000-0005-0000-0000-000018000000}"/>
    <cellStyle name="Currency 2 2 3" xfId="37" xr:uid="{00000000-0005-0000-0000-000019000000}"/>
    <cellStyle name="Currency 2 2 3 2" xfId="155" xr:uid="{00000000-0005-0000-0000-00001A000000}"/>
    <cellStyle name="Currency 2 2 4" xfId="38" xr:uid="{00000000-0005-0000-0000-00001B000000}"/>
    <cellStyle name="Currency 2 2 4 2" xfId="156" xr:uid="{00000000-0005-0000-0000-00001C000000}"/>
    <cellStyle name="Currency 2 2 5" xfId="134" xr:uid="{00000000-0005-0000-0000-00001D000000}"/>
    <cellStyle name="Currency 2 3" xfId="8" xr:uid="{00000000-0005-0000-0000-00001E000000}"/>
    <cellStyle name="Currency 2 3 2" xfId="39" xr:uid="{00000000-0005-0000-0000-00001F000000}"/>
    <cellStyle name="Currency 2 3 2 2" xfId="157" xr:uid="{00000000-0005-0000-0000-000020000000}"/>
    <cellStyle name="Currency 2 4" xfId="40" xr:uid="{00000000-0005-0000-0000-000021000000}"/>
    <cellStyle name="Currency 2 4 2" xfId="158" xr:uid="{00000000-0005-0000-0000-000022000000}"/>
    <cellStyle name="Currency 2 5" xfId="41" xr:uid="{00000000-0005-0000-0000-000023000000}"/>
    <cellStyle name="Currency 2 5 2" xfId="159" xr:uid="{00000000-0005-0000-0000-000024000000}"/>
    <cellStyle name="Currency 2 6" xfId="133" xr:uid="{00000000-0005-0000-0000-000025000000}"/>
    <cellStyle name="Currency 3" xfId="9" xr:uid="{00000000-0005-0000-0000-000026000000}"/>
    <cellStyle name="Currency 3 2" xfId="42" xr:uid="{00000000-0005-0000-0000-000027000000}"/>
    <cellStyle name="Currency 3 2 2" xfId="43" xr:uid="{00000000-0005-0000-0000-000028000000}"/>
    <cellStyle name="Currency 3 2 2 2" xfId="161" xr:uid="{00000000-0005-0000-0000-000029000000}"/>
    <cellStyle name="Currency 3 2 3" xfId="160" xr:uid="{00000000-0005-0000-0000-00002A000000}"/>
    <cellStyle name="Currency 3 3" xfId="44" xr:uid="{00000000-0005-0000-0000-00002B000000}"/>
    <cellStyle name="Currency 3 3 2" xfId="162" xr:uid="{00000000-0005-0000-0000-00002C000000}"/>
    <cellStyle name="Currency 3 4" xfId="135" xr:uid="{00000000-0005-0000-0000-00002D000000}"/>
    <cellStyle name="Currency 4" xfId="10" xr:uid="{00000000-0005-0000-0000-00002E000000}"/>
    <cellStyle name="Currency 4 2" xfId="45" xr:uid="{00000000-0005-0000-0000-00002F000000}"/>
    <cellStyle name="Currency 4 2 2" xfId="46" xr:uid="{00000000-0005-0000-0000-000030000000}"/>
    <cellStyle name="Currency 4 2 2 2" xfId="164" xr:uid="{00000000-0005-0000-0000-000031000000}"/>
    <cellStyle name="Currency 4 2 3" xfId="163" xr:uid="{00000000-0005-0000-0000-000032000000}"/>
    <cellStyle name="Currency 4 3" xfId="47" xr:uid="{00000000-0005-0000-0000-000033000000}"/>
    <cellStyle name="Currency 4 3 2" xfId="165" xr:uid="{00000000-0005-0000-0000-000034000000}"/>
    <cellStyle name="Currency 4 4" xfId="136" xr:uid="{00000000-0005-0000-0000-000035000000}"/>
    <cellStyle name="Currency 5" xfId="201" xr:uid="{00000000-0005-0000-0000-000036000000}"/>
    <cellStyle name="Currency 6" xfId="205" xr:uid="{00000000-0005-0000-0000-000037000000}"/>
    <cellStyle name="Currency 7" xfId="209" xr:uid="{E72234EB-EFFA-4BE4-9849-33015E5DB18B}"/>
    <cellStyle name="Currency 7 2" xfId="213" xr:uid="{32DE6A11-F3B6-4CC9-99F9-8CA87ACFDA50}"/>
    <cellStyle name="Currency 7 2 2" xfId="216" xr:uid="{9E5A65A6-E35E-41A7-9616-C525398D4D84}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  <cellStyle name="Normal 10" xfId="84" xr:uid="{00000000-0005-0000-0000-000069000000}"/>
    <cellStyle name="Normal 10 2" xfId="194" xr:uid="{00000000-0005-0000-0000-00006A000000}"/>
    <cellStyle name="Normal 11" xfId="196" xr:uid="{00000000-0005-0000-0000-00006B000000}"/>
    <cellStyle name="Normal 12" xfId="199" xr:uid="{00000000-0005-0000-0000-00006C000000}"/>
    <cellStyle name="Normal 13" xfId="203" xr:uid="{00000000-0005-0000-0000-00006D000000}"/>
    <cellStyle name="Normal 14" xfId="207" xr:uid="{28A922B9-2B2A-402B-B566-C706955E7092}"/>
    <cellStyle name="Normal 14 2" xfId="211" xr:uid="{F932E8D0-C0F7-4611-AB33-174CB916D405}"/>
    <cellStyle name="Normal 14 3 2" xfId="212" xr:uid="{B78A1FA7-2EC1-41A5-A2B4-BCD7DFCCC46A}"/>
    <cellStyle name="Normal 14 3 2 2" xfId="214" xr:uid="{7EDC0765-8EF9-4F8B-BE2D-519ED2C4C5C2}"/>
    <cellStyle name="Normal 2" xfId="11" xr:uid="{00000000-0005-0000-0000-00006E000000}"/>
    <cellStyle name="Normal 2 2" xfId="12" xr:uid="{00000000-0005-0000-0000-00006F000000}"/>
    <cellStyle name="Normal 2 3" xfId="48" xr:uid="{00000000-0005-0000-0000-000070000000}"/>
    <cellStyle name="Normal 2 3 10" xfId="129" xr:uid="{00000000-0005-0000-0000-000071000000}"/>
    <cellStyle name="Normal 2 3 2" xfId="49" xr:uid="{00000000-0005-0000-0000-000072000000}"/>
    <cellStyle name="Normal 2 3 2 2" xfId="167" xr:uid="{00000000-0005-0000-0000-000073000000}"/>
    <cellStyle name="Normal 2 3 3" xfId="166" xr:uid="{00000000-0005-0000-0000-000074000000}"/>
    <cellStyle name="Normal 2 4" xfId="50" xr:uid="{00000000-0005-0000-0000-000075000000}"/>
    <cellStyle name="Normal 2 4 2" xfId="168" xr:uid="{00000000-0005-0000-0000-000076000000}"/>
    <cellStyle name="Normal 2 5" xfId="126" xr:uid="{00000000-0005-0000-0000-000077000000}"/>
    <cellStyle name="Normal 2 58" xfId="128" xr:uid="{00000000-0005-0000-0000-000078000000}"/>
    <cellStyle name="Normal 2 6" xfId="137" xr:uid="{00000000-0005-0000-0000-000079000000}"/>
    <cellStyle name="Normal 2 7" xfId="197" xr:uid="{00000000-0005-0000-0000-00007A000000}"/>
    <cellStyle name="Normal 3" xfId="13" xr:uid="{00000000-0005-0000-0000-00007B000000}"/>
    <cellStyle name="Normal 3 2" xfId="14" xr:uid="{00000000-0005-0000-0000-00007C000000}"/>
    <cellStyle name="Normal 3 2 2" xfId="51" xr:uid="{00000000-0005-0000-0000-00007D000000}"/>
    <cellStyle name="Normal 3 2 2 2" xfId="52" xr:uid="{00000000-0005-0000-0000-00007E000000}"/>
    <cellStyle name="Normal 3 2 2 2 2" xfId="170" xr:uid="{00000000-0005-0000-0000-00007F000000}"/>
    <cellStyle name="Normal 3 2 2 3" xfId="169" xr:uid="{00000000-0005-0000-0000-000080000000}"/>
    <cellStyle name="Normal 3 2 3" xfId="53" xr:uid="{00000000-0005-0000-0000-000081000000}"/>
    <cellStyle name="Normal 3 2 3 2" xfId="171" xr:uid="{00000000-0005-0000-0000-000082000000}"/>
    <cellStyle name="Normal 3 2 4" xfId="54" xr:uid="{00000000-0005-0000-0000-000083000000}"/>
    <cellStyle name="Normal 3 2 4 2" xfId="172" xr:uid="{00000000-0005-0000-0000-000084000000}"/>
    <cellStyle name="Normal 3 2 5" xfId="139" xr:uid="{00000000-0005-0000-0000-000085000000}"/>
    <cellStyle name="Normal 3 3" xfId="15" xr:uid="{00000000-0005-0000-0000-000086000000}"/>
    <cellStyle name="Normal 3 3 2" xfId="55" xr:uid="{00000000-0005-0000-0000-000087000000}"/>
    <cellStyle name="Normal 3 3 2 2" xfId="173" xr:uid="{00000000-0005-0000-0000-000088000000}"/>
    <cellStyle name="Normal 3 3 3" xfId="140" xr:uid="{00000000-0005-0000-0000-000089000000}"/>
    <cellStyle name="Normal 3 4" xfId="56" xr:uid="{00000000-0005-0000-0000-00008A000000}"/>
    <cellStyle name="Normal 3 4 2" xfId="174" xr:uid="{00000000-0005-0000-0000-00008B000000}"/>
    <cellStyle name="Normal 3 5" xfId="57" xr:uid="{00000000-0005-0000-0000-00008C000000}"/>
    <cellStyle name="Normal 3 5 2" xfId="175" xr:uid="{00000000-0005-0000-0000-00008D000000}"/>
    <cellStyle name="Normal 3 6" xfId="127" xr:uid="{00000000-0005-0000-0000-00008E000000}"/>
    <cellStyle name="Normal 3 7" xfId="138" xr:uid="{00000000-0005-0000-0000-00008F000000}"/>
    <cellStyle name="Normal 3 8" xfId="198" xr:uid="{00000000-0005-0000-0000-000090000000}"/>
    <cellStyle name="Normal 4" xfId="16" xr:uid="{00000000-0005-0000-0000-000091000000}"/>
    <cellStyle name="Normal 4 2" xfId="17" xr:uid="{00000000-0005-0000-0000-000092000000}"/>
    <cellStyle name="Normal 4 3" xfId="58" xr:uid="{00000000-0005-0000-0000-000093000000}"/>
    <cellStyle name="Normal 4 3 2" xfId="59" xr:uid="{00000000-0005-0000-0000-000094000000}"/>
    <cellStyle name="Normal 4 3 2 2" xfId="177" xr:uid="{00000000-0005-0000-0000-000095000000}"/>
    <cellStyle name="Normal 4 3 3" xfId="176" xr:uid="{00000000-0005-0000-0000-000096000000}"/>
    <cellStyle name="Normal 4 4" xfId="60" xr:uid="{00000000-0005-0000-0000-000097000000}"/>
    <cellStyle name="Normal 4 4 2" xfId="178" xr:uid="{00000000-0005-0000-0000-000098000000}"/>
    <cellStyle name="Normal 4 5" xfId="141" xr:uid="{00000000-0005-0000-0000-000099000000}"/>
    <cellStyle name="Normal 5" xfId="18" xr:uid="{00000000-0005-0000-0000-00009A000000}"/>
    <cellStyle name="Normal 5 2" xfId="61" xr:uid="{00000000-0005-0000-0000-00009B000000}"/>
    <cellStyle name="Normal 5 2 2" xfId="62" xr:uid="{00000000-0005-0000-0000-00009C000000}"/>
    <cellStyle name="Normal 5 2 2 2" xfId="180" xr:uid="{00000000-0005-0000-0000-00009D000000}"/>
    <cellStyle name="Normal 5 2 3" xfId="179" xr:uid="{00000000-0005-0000-0000-00009E000000}"/>
    <cellStyle name="Normal 5 3" xfId="63" xr:uid="{00000000-0005-0000-0000-00009F000000}"/>
    <cellStyle name="Normal 5 3 2" xfId="181" xr:uid="{00000000-0005-0000-0000-0000A0000000}"/>
    <cellStyle name="Normal 5 4" xfId="142" xr:uid="{00000000-0005-0000-0000-0000A1000000}"/>
    <cellStyle name="Normal 6" xfId="19" xr:uid="{00000000-0005-0000-0000-0000A2000000}"/>
    <cellStyle name="Normal 6 2" xfId="64" xr:uid="{00000000-0005-0000-0000-0000A3000000}"/>
    <cellStyle name="Normal 6 2 2" xfId="65" xr:uid="{00000000-0005-0000-0000-0000A4000000}"/>
    <cellStyle name="Normal 6 2 2 2" xfId="183" xr:uid="{00000000-0005-0000-0000-0000A5000000}"/>
    <cellStyle name="Normal 6 2 3" xfId="182" xr:uid="{00000000-0005-0000-0000-0000A6000000}"/>
    <cellStyle name="Normal 6 3" xfId="66" xr:uid="{00000000-0005-0000-0000-0000A7000000}"/>
    <cellStyle name="Normal 6 3 2" xfId="184" xr:uid="{00000000-0005-0000-0000-0000A8000000}"/>
    <cellStyle name="Normal 6 4" xfId="143" xr:uid="{00000000-0005-0000-0000-0000A9000000}"/>
    <cellStyle name="Normal 7" xfId="20" xr:uid="{00000000-0005-0000-0000-0000AA000000}"/>
    <cellStyle name="Normal 8" xfId="21" xr:uid="{00000000-0005-0000-0000-0000AB000000}"/>
    <cellStyle name="Normal 8 2" xfId="67" xr:uid="{00000000-0005-0000-0000-0000AC000000}"/>
    <cellStyle name="Normal 8 2 2" xfId="185" xr:uid="{00000000-0005-0000-0000-0000AD000000}"/>
    <cellStyle name="Normal 8 3" xfId="144" xr:uid="{00000000-0005-0000-0000-0000AE000000}"/>
    <cellStyle name="Normal 9" xfId="28" xr:uid="{00000000-0005-0000-0000-0000AF000000}"/>
    <cellStyle name="Normal 9 2" xfId="68" xr:uid="{00000000-0005-0000-0000-0000B0000000}"/>
    <cellStyle name="Normal 9 2 2" xfId="186" xr:uid="{00000000-0005-0000-0000-0000B1000000}"/>
    <cellStyle name="Normal 9 3" xfId="147" xr:uid="{00000000-0005-0000-0000-0000B2000000}"/>
    <cellStyle name="Normal_1471bedford" xfId="22" xr:uid="{00000000-0005-0000-0000-0000B3000000}"/>
    <cellStyle name="Percent" xfId="23" builtinId="5"/>
    <cellStyle name="Percent 2" xfId="24" xr:uid="{00000000-0005-0000-0000-0000B5000000}"/>
    <cellStyle name="Percent 2 2" xfId="25" xr:uid="{00000000-0005-0000-0000-0000B6000000}"/>
    <cellStyle name="Percent 2 2 2" xfId="69" xr:uid="{00000000-0005-0000-0000-0000B7000000}"/>
    <cellStyle name="Percent 2 2 2 2" xfId="131" xr:uid="{00000000-0005-0000-0000-0000B8000000}"/>
    <cellStyle name="Percent 2 2 2 3" xfId="187" xr:uid="{00000000-0005-0000-0000-0000B9000000}"/>
    <cellStyle name="Percent 2 2 3" xfId="70" xr:uid="{00000000-0005-0000-0000-0000BA000000}"/>
    <cellStyle name="Percent 2 2 3 2" xfId="188" xr:uid="{00000000-0005-0000-0000-0000BB000000}"/>
    <cellStyle name="Percent 2 3" xfId="71" xr:uid="{00000000-0005-0000-0000-0000BC000000}"/>
    <cellStyle name="Percent 2 3 2" xfId="189" xr:uid="{00000000-0005-0000-0000-0000BD000000}"/>
    <cellStyle name="Percent 2 4" xfId="72" xr:uid="{00000000-0005-0000-0000-0000BE000000}"/>
    <cellStyle name="Percent 2 4 2" xfId="190" xr:uid="{00000000-0005-0000-0000-0000BF000000}"/>
    <cellStyle name="Percent 2 5" xfId="29" xr:uid="{00000000-0005-0000-0000-0000C0000000}"/>
    <cellStyle name="Percent 2 6" xfId="145" xr:uid="{00000000-0005-0000-0000-0000C1000000}"/>
    <cellStyle name="Percent 3" xfId="26" xr:uid="{00000000-0005-0000-0000-0000C2000000}"/>
    <cellStyle name="Percent 3 2" xfId="27" xr:uid="{00000000-0005-0000-0000-0000C3000000}"/>
    <cellStyle name="Percent 3 2 2" xfId="73" xr:uid="{00000000-0005-0000-0000-0000C4000000}"/>
    <cellStyle name="Percent 3 2 2 2" xfId="191" xr:uid="{00000000-0005-0000-0000-0000C5000000}"/>
    <cellStyle name="Percent 3 3" xfId="74" xr:uid="{00000000-0005-0000-0000-0000C6000000}"/>
    <cellStyle name="Percent 3 3 2" xfId="192" xr:uid="{00000000-0005-0000-0000-0000C7000000}"/>
    <cellStyle name="Percent 3 4" xfId="146" xr:uid="{00000000-0005-0000-0000-0000C8000000}"/>
    <cellStyle name="Percent 4" xfId="75" xr:uid="{00000000-0005-0000-0000-0000C9000000}"/>
    <cellStyle name="Percent 4 2" xfId="193" xr:uid="{00000000-0005-0000-0000-0000CA000000}"/>
    <cellStyle name="Percent 5" xfId="125" xr:uid="{00000000-0005-0000-0000-0000CB000000}"/>
    <cellStyle name="Percent 5 2" xfId="195" xr:uid="{00000000-0005-0000-0000-0000CC000000}"/>
    <cellStyle name="Percent 6" xfId="202" xr:uid="{00000000-0005-0000-0000-0000CD000000}"/>
    <cellStyle name="Percent 7" xfId="206" xr:uid="{00000000-0005-0000-0000-0000CE000000}"/>
    <cellStyle name="Percent 8" xfId="208" xr:uid="{C495C82C-D356-48F4-A2AB-E431BBCFB10D}"/>
    <cellStyle name="Percent 8 2" xfId="215" xr:uid="{94830F86-5FD4-4C2D-974E-DDA9694FE326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>
    <mruColors>
      <color rgb="FFD5280B"/>
      <color rgb="FFFFF7F7"/>
      <color rgb="FFFFEBEB"/>
      <color rgb="FFFFD9D9"/>
      <color rgb="FFFFCCCC"/>
      <color rgb="FFF7E3DD"/>
      <color rgb="FFFFDDFF"/>
      <color rgb="FFFFCCFF"/>
      <color rgb="FF00FFCC"/>
      <color rgb="FFFDEC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evan%20Hayat/AppData/Local/Microsoft/Windows/Temporary%20Internet%20Files/Content.Outlook/DV1MFR3U/Bundle%201%20Pro%20Forma_FHA%20221(d)4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velopment\Development%20Files\Current%20Development%20Projects\Virgin%20Island_Master%20Developer\Underwriting\HODGE\Walter%20I.M.%20Hodge%20Underwriting%2012.8.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evenson/AppData/Local/Microsoft/Windows/INetCache/Content.Outlook/1FI8V510/Walter%20I.M.%20Hodge%20Underwriting%2011.30.20.2%20NoDebt%20pg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Devel. Bud"/>
      <sheetName val="Cost Detail"/>
      <sheetName val="Cons Int &amp; Neg Arb"/>
      <sheetName val="Units &amp; Income"/>
      <sheetName val="Debt Sizing"/>
      <sheetName val="Cash Flow"/>
      <sheetName val="Tax Credits"/>
      <sheetName val="Interim CF"/>
      <sheetName val="Draw Schedule rev."/>
      <sheetName val="Development Fees"/>
      <sheetName val="NYCHA Returns"/>
      <sheetName val="Social Services"/>
      <sheetName val="Unit Summary"/>
      <sheetName val="Returns Summary"/>
      <sheetName val="Mortgage - Yearly"/>
      <sheetName val="Mortgage - Monthly"/>
    </sheetNames>
    <sheetDataSet>
      <sheetData sheetId="0">
        <row r="2">
          <cell r="A2" t="str">
            <v>RFP RAD Bundle 1</v>
          </cell>
        </row>
        <row r="22">
          <cell r="C22">
            <v>15499647.060000001</v>
          </cell>
        </row>
      </sheetData>
      <sheetData sheetId="1"/>
      <sheetData sheetId="2"/>
      <sheetData sheetId="3"/>
      <sheetData sheetId="4">
        <row r="16">
          <cell r="B16">
            <v>648</v>
          </cell>
          <cell r="D16">
            <v>2736</v>
          </cell>
        </row>
      </sheetData>
      <sheetData sheetId="5">
        <row r="28">
          <cell r="L28">
            <v>115750000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VIHA Returns and Fees"/>
      <sheetName val="Devel. Bud"/>
      <sheetName val="Cons Int &amp; Neg Arb"/>
      <sheetName val="Interim Income"/>
      <sheetName val="Cost Detail"/>
      <sheetName val="Units &amp; Income"/>
      <sheetName val="M&amp;O"/>
      <sheetName val="Debt Sizing"/>
      <sheetName val="Tax Credits"/>
      <sheetName val="Cash Flow"/>
      <sheetName val="Draw Schedule"/>
      <sheetName val="LIHTC Delivery"/>
      <sheetName val="Monthly Lease Sched"/>
      <sheetName val="CDBG"/>
      <sheetName val="PRPHA Benefits"/>
      <sheetName val="Mortgage - Yearly"/>
      <sheetName val="Mortgage - Monthly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B17">
            <v>248</v>
          </cell>
          <cell r="D17">
            <v>1116</v>
          </cell>
        </row>
      </sheetData>
      <sheetData sheetId="7"/>
      <sheetData sheetId="8">
        <row r="26">
          <cell r="L2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and Use"/>
      <sheetName val="VIHA Returns and Fees"/>
      <sheetName val="Devel. Bud"/>
      <sheetName val="Cons Int &amp; Neg Arb"/>
      <sheetName val="Interim Income"/>
      <sheetName val="Cost Detail"/>
      <sheetName val="Units &amp; Income"/>
      <sheetName val="M&amp;O"/>
      <sheetName val="Debt Sizing"/>
      <sheetName val="Tax Credits"/>
      <sheetName val="Cash Flow"/>
      <sheetName val="Draw Schedule"/>
      <sheetName val="LIHTC Delivery"/>
      <sheetName val="CDBG"/>
      <sheetName val="PRPHA Benefits"/>
      <sheetName val="Mortgage - Yearly"/>
      <sheetName val="Mortgage - Monthly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B17">
            <v>248</v>
          </cell>
          <cell r="D17">
            <v>1116</v>
          </cell>
        </row>
      </sheetData>
      <sheetData sheetId="7"/>
      <sheetData sheetId="8">
        <row r="26">
          <cell r="L26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Waveform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Waveform">
      <a:majorFont>
        <a:latin typeface="Candara"/>
        <a:ea typeface=""/>
        <a:cs typeface=""/>
        <a:font script="Jpan" typeface="HGP明朝E"/>
        <a:font script="Hang" typeface="HY그래픽M"/>
        <a:font script="Hans" typeface="华文新魏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ndara"/>
        <a:ea typeface=""/>
        <a:cs typeface=""/>
        <a:font script="Jpan" typeface="HGP明朝E"/>
        <a:font script="Hang" typeface="HY그래픽M"/>
        <a:font script="Hans" typeface="华文楷体"/>
        <a:font script="Hant" typeface="標楷體"/>
        <a:font script="Arab" typeface="Arial"/>
        <a:font script="Hebr" typeface="Arial"/>
        <a:font script="Thai" typeface="Kodchiang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aveform">
      <a:fillStyleLst>
        <a:solidFill>
          <a:schemeClr val="phClr"/>
        </a:solidFill>
        <a:gradFill rotWithShape="1">
          <a:gsLst>
            <a:gs pos="0">
              <a:schemeClr val="phClr">
                <a:tint val="0"/>
              </a:schemeClr>
            </a:gs>
            <a:gs pos="44000">
              <a:schemeClr val="phClr">
                <a:tint val="60000"/>
                <a:satMod val="120000"/>
              </a:schemeClr>
            </a:gs>
            <a:gs pos="100000">
              <a:schemeClr val="phClr">
                <a:tint val="90000"/>
                <a:alpha val="100000"/>
                <a:lumMod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satMod val="120000"/>
                <a:lumMod val="120000"/>
              </a:schemeClr>
            </a:gs>
            <a:gs pos="100000">
              <a:schemeClr val="phClr">
                <a:shade val="89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>
              <a:shade val="75000"/>
              <a:lumMod val="8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prstMaterial="flat">
            <a:bevelT w="12700" h="12700"/>
          </a:sp3d>
        </a:effectStyle>
        <a:effectStyle>
          <a:effectLst>
            <a:outerShdw blurRad="50800" dist="25400" dir="5400000" rotWithShape="0">
              <a:srgbClr val="000000">
                <a:alpha val="38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6360000"/>
            </a:lightRig>
          </a:scene3d>
          <a:sp3d contourW="19050" prstMaterial="flat">
            <a:bevelT w="63500" h="63500"/>
            <a:contourClr>
              <a:schemeClr val="phClr">
                <a:shade val="25000"/>
                <a:satMod val="18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40000">
              <a:schemeClr val="phClr">
                <a:tint val="94000"/>
                <a:shade val="94000"/>
                <a:alpha val="100000"/>
                <a:satMod val="114000"/>
                <a:lumMod val="114000"/>
              </a:schemeClr>
            </a:gs>
            <a:gs pos="74000">
              <a:schemeClr val="phClr">
                <a:tint val="94000"/>
                <a:shade val="94000"/>
                <a:satMod val="128000"/>
                <a:lumMod val="100000"/>
              </a:schemeClr>
            </a:gs>
            <a:gs pos="100000">
              <a:schemeClr val="phClr">
                <a:tint val="98000"/>
                <a:shade val="100000"/>
                <a:hueMod val="98000"/>
                <a:satMod val="100000"/>
                <a:lumMod val="74000"/>
              </a:schemeClr>
            </a:gs>
          </a:gsLst>
          <a:path path="circle">
            <a:fillToRect l="20000" t="-40000" r="20000" b="14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6000"/>
                <a:satMod val="130000"/>
                <a:lumMod val="50000"/>
              </a:schemeClr>
              <a:schemeClr val="phClr">
                <a:tint val="96000"/>
                <a:satMod val="114000"/>
                <a:lumMod val="114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published="0" codeName="Sheet1">
    <pageSetUpPr fitToPage="1"/>
  </sheetPr>
  <dimension ref="A1:L69"/>
  <sheetViews>
    <sheetView showGridLines="0" tabSelected="1" view="pageBreakPreview" zoomScale="75" zoomScaleNormal="75" zoomScaleSheetLayoutView="75" zoomScalePageLayoutView="75" workbookViewId="0">
      <selection activeCell="A64" sqref="A64:XFD69"/>
    </sheetView>
  </sheetViews>
  <sheetFormatPr defaultColWidth="9.6640625" defaultRowHeight="15"/>
  <cols>
    <col min="1" max="1" width="37.83203125" style="8" customWidth="1"/>
    <col min="2" max="2" width="17.6640625" style="8" customWidth="1"/>
    <col min="3" max="3" width="14.44140625" style="54" customWidth="1"/>
    <col min="4" max="5" width="11.6640625" style="55" customWidth="1"/>
    <col min="6" max="6" width="12.6640625" style="8" customWidth="1"/>
    <col min="7" max="7" width="15.6640625" style="8" customWidth="1"/>
    <col min="8" max="8" width="17.5546875" style="8" customWidth="1"/>
    <col min="9" max="9" width="10.83203125" style="8" customWidth="1"/>
    <col min="10" max="10" width="15.27734375" style="8" customWidth="1"/>
    <col min="11" max="11" width="14.21875" style="8" bestFit="1" customWidth="1"/>
    <col min="12" max="12" width="13.21875" style="8" customWidth="1"/>
    <col min="13" max="16384" width="9.6640625" style="8"/>
  </cols>
  <sheetData>
    <row r="1" spans="1:8" ht="17.649999999999999">
      <c r="A1" s="44" t="s">
        <v>282</v>
      </c>
      <c r="B1" s="44"/>
      <c r="C1" s="44"/>
      <c r="D1" s="44"/>
      <c r="E1" s="45"/>
      <c r="F1" s="1"/>
      <c r="G1" s="1"/>
    </row>
    <row r="2" spans="1:8" ht="18" customHeight="1">
      <c r="A2" s="44" t="s">
        <v>404</v>
      </c>
      <c r="B2" s="44"/>
      <c r="C2" s="44"/>
      <c r="D2" s="44"/>
      <c r="E2" s="44"/>
      <c r="F2" s="1"/>
      <c r="G2" s="1"/>
    </row>
    <row r="3" spans="1:8" ht="18.75" customHeight="1" thickBot="1">
      <c r="A3" s="46" t="s">
        <v>486</v>
      </c>
      <c r="B3" s="46"/>
      <c r="C3" s="46"/>
      <c r="D3" s="46"/>
      <c r="E3" s="47"/>
      <c r="F3" s="1"/>
      <c r="G3" s="162"/>
    </row>
    <row r="4" spans="1:8" ht="16.5" customHeight="1">
      <c r="A4" s="48" t="s">
        <v>47</v>
      </c>
      <c r="B4" s="48"/>
      <c r="C4" s="48"/>
      <c r="D4" s="148" t="s">
        <v>75</v>
      </c>
      <c r="E4" s="48">
        <f>totalunits</f>
        <v>136</v>
      </c>
      <c r="F4" s="49"/>
      <c r="G4" s="163"/>
    </row>
    <row r="5" spans="1:8">
      <c r="A5" s="50"/>
      <c r="B5" s="50"/>
      <c r="C5" s="50"/>
      <c r="D5" s="50"/>
      <c r="E5" s="50"/>
      <c r="F5" s="49"/>
      <c r="G5" s="163"/>
    </row>
    <row r="6" spans="1:8">
      <c r="A6" s="279" t="s">
        <v>134</v>
      </c>
      <c r="B6" s="279"/>
      <c r="C6" s="280"/>
      <c r="D6" s="281" t="s">
        <v>94</v>
      </c>
      <c r="E6" s="282" t="s">
        <v>95</v>
      </c>
      <c r="F6" s="243"/>
      <c r="G6" s="163"/>
    </row>
    <row r="7" spans="1:8">
      <c r="A7" s="283" t="s">
        <v>499</v>
      </c>
      <c r="B7" s="62"/>
      <c r="C7" s="217">
        <f ca="1">F7</f>
        <v>19600000</v>
      </c>
      <c r="D7" s="37">
        <f ca="1">C7/totalunits</f>
        <v>144117.64705882352</v>
      </c>
      <c r="E7" s="295">
        <f ca="1">C7/C$19</f>
        <v>0.47464322691137978</v>
      </c>
      <c r="F7" s="620">
        <f ca="1">'Devel. Bud'!E95</f>
        <v>19600000</v>
      </c>
      <c r="G7" s="8" t="s">
        <v>300</v>
      </c>
      <c r="H7" s="493"/>
    </row>
    <row r="8" spans="1:8" hidden="1">
      <c r="A8" s="283" t="s">
        <v>350</v>
      </c>
      <c r="B8" s="513"/>
      <c r="C8" s="217"/>
      <c r="D8" s="37">
        <f>C8/totalunits</f>
        <v>0</v>
      </c>
      <c r="E8" s="295">
        <f ca="1">C8/C$19</f>
        <v>0</v>
      </c>
      <c r="F8" s="620"/>
      <c r="H8" s="493"/>
    </row>
    <row r="9" spans="1:8">
      <c r="A9" s="283" t="s">
        <v>156</v>
      </c>
      <c r="B9" s="62"/>
      <c r="C9" s="36">
        <f>C24</f>
        <v>2500000</v>
      </c>
      <c r="D9" s="37">
        <f t="shared" ref="D9:D17" si="0">C9/totalunits</f>
        <v>18382.352941176472</v>
      </c>
      <c r="E9" s="295">
        <f ca="1">C9/C$19</f>
        <v>6.0541227922369871E-2</v>
      </c>
      <c r="F9" s="51">
        <f>C37-C9</f>
        <v>0</v>
      </c>
      <c r="G9" s="411" t="s">
        <v>238</v>
      </c>
      <c r="H9" s="64"/>
    </row>
    <row r="10" spans="1:8">
      <c r="A10" s="283" t="s">
        <v>480</v>
      </c>
      <c r="B10" s="560"/>
      <c r="C10" s="146">
        <f>C25</f>
        <v>11000000</v>
      </c>
      <c r="D10" s="37">
        <f>C10/totalunits</f>
        <v>80882.352941176476</v>
      </c>
      <c r="E10" s="295">
        <f ca="1">C10/C$19</f>
        <v>0.26638140285842743</v>
      </c>
      <c r="F10" s="51"/>
      <c r="G10" s="411"/>
    </row>
    <row r="11" spans="1:8" hidden="1">
      <c r="A11" s="283" t="s">
        <v>481</v>
      </c>
      <c r="B11" s="560"/>
      <c r="C11" s="146">
        <f t="shared" ref="C11" si="1">C26*0.62</f>
        <v>0</v>
      </c>
      <c r="D11" s="37">
        <f>C11/totalunits</f>
        <v>0</v>
      </c>
      <c r="E11" s="295">
        <f t="shared" ref="E11:E12" ca="1" si="2">C11/C$19</f>
        <v>0</v>
      </c>
      <c r="F11" s="51"/>
      <c r="G11" s="411"/>
    </row>
    <row r="12" spans="1:8">
      <c r="A12" s="283" t="s">
        <v>482</v>
      </c>
      <c r="B12" s="560"/>
      <c r="C12" s="146">
        <v>0</v>
      </c>
      <c r="D12" s="37">
        <f>C12/totalunits</f>
        <v>0</v>
      </c>
      <c r="E12" s="295">
        <f t="shared" ca="1" si="2"/>
        <v>0</v>
      </c>
      <c r="F12" s="51"/>
      <c r="G12" s="411"/>
    </row>
    <row r="13" spans="1:8" hidden="1">
      <c r="A13" s="283"/>
      <c r="B13" s="560"/>
      <c r="C13" s="146">
        <f>C28*0.5</f>
        <v>0</v>
      </c>
      <c r="D13" s="37">
        <f>C13/totalunits</f>
        <v>0</v>
      </c>
      <c r="E13" s="295">
        <f t="shared" ref="E13" ca="1" si="3">C13/C$19</f>
        <v>0</v>
      </c>
      <c r="F13" s="51"/>
      <c r="G13" s="411"/>
    </row>
    <row r="14" spans="1:8">
      <c r="A14" s="283" t="s">
        <v>281</v>
      </c>
      <c r="B14" s="560"/>
      <c r="C14" s="146">
        <f ca="1">ROUND(C29*15%, 0)-572281</f>
        <v>1483946</v>
      </c>
      <c r="D14" s="37">
        <f ca="1">C14/totalunits</f>
        <v>10911.367647058823</v>
      </c>
      <c r="E14" s="295">
        <f ca="1">C14/C$33</f>
        <v>3.5935965398213338E-2</v>
      </c>
      <c r="F14" s="559">
        <f ca="1">C14/C29</f>
        <v>0.10825256709806107</v>
      </c>
      <c r="G14" s="8" t="s">
        <v>296</v>
      </c>
    </row>
    <row r="15" spans="1:8">
      <c r="A15" s="283" t="s">
        <v>113</v>
      </c>
      <c r="B15" s="513"/>
      <c r="C15" s="36"/>
      <c r="D15" s="37">
        <f t="shared" ref="D15" si="4">C15/totalunits</f>
        <v>0</v>
      </c>
      <c r="E15" s="295">
        <f ca="1">C15/C$19</f>
        <v>0</v>
      </c>
      <c r="F15" s="559"/>
    </row>
    <row r="16" spans="1:8">
      <c r="A16" s="283" t="s">
        <v>348</v>
      </c>
      <c r="B16" s="513"/>
      <c r="C16" s="146">
        <f>'Devel. Bud'!D65</f>
        <v>165000</v>
      </c>
      <c r="D16" s="37">
        <f t="shared" ref="D16" si="5">C16/totalunits</f>
        <v>1213.2352941176471</v>
      </c>
      <c r="E16" s="295">
        <f ca="1">C16/C$19</f>
        <v>3.9957210428764114E-3</v>
      </c>
      <c r="F16" s="559"/>
    </row>
    <row r="17" spans="1:12">
      <c r="A17" s="283" t="s">
        <v>19</v>
      </c>
      <c r="B17" s="62"/>
      <c r="C17" s="36">
        <f>'Devel. Bud'!D81+'Devel. Bud'!D82+'Devel. Bud'!D83+'Devel. Bud'!D84+'Devel. Bud'!D73</f>
        <v>2045228</v>
      </c>
      <c r="D17" s="37">
        <f t="shared" si="0"/>
        <v>15038.441176470587</v>
      </c>
      <c r="E17" s="295">
        <f ca="1">C17/C$19</f>
        <v>4.9528245800485073E-2</v>
      </c>
      <c r="F17" s="49"/>
      <c r="G17" s="49"/>
    </row>
    <row r="18" spans="1:12">
      <c r="A18" s="283" t="s">
        <v>280</v>
      </c>
      <c r="B18" s="513"/>
      <c r="C18" s="36">
        <f>C43*0.9</f>
        <v>4500000</v>
      </c>
      <c r="D18" s="37">
        <f>C18/totalunits</f>
        <v>33088.23529411765</v>
      </c>
      <c r="E18" s="295">
        <f ca="1">C18/C$33</f>
        <v>0.10897421084861579</v>
      </c>
      <c r="F18" s="617">
        <f>C18/C43</f>
        <v>0.9</v>
      </c>
      <c r="G18" s="8" t="s">
        <v>297</v>
      </c>
      <c r="K18" s="172"/>
    </row>
    <row r="19" spans="1:12">
      <c r="A19" s="403" t="s">
        <v>107</v>
      </c>
      <c r="B19" s="403"/>
      <c r="C19" s="753">
        <f ca="1">SUM(C7:C18)</f>
        <v>41294174</v>
      </c>
      <c r="D19" s="404">
        <f ca="1">SUM(D7:D18)</f>
        <v>303633.6323529412</v>
      </c>
      <c r="E19" s="405">
        <f ca="1">SUM(E7:E18)</f>
        <v>1.0000000007823677</v>
      </c>
      <c r="F19" s="49"/>
      <c r="G19" s="52"/>
      <c r="L19" s="172"/>
    </row>
    <row r="20" spans="1:12">
      <c r="A20" s="39" t="s">
        <v>20</v>
      </c>
      <c r="B20" s="62"/>
      <c r="C20" s="37">
        <f ca="1">C19-C44</f>
        <v>0.43792641907930374</v>
      </c>
      <c r="D20" s="38"/>
      <c r="E20" s="296"/>
      <c r="F20" s="49"/>
      <c r="G20" s="52"/>
      <c r="L20" s="172"/>
    </row>
    <row r="21" spans="1:12">
      <c r="A21" s="39"/>
      <c r="B21" s="62"/>
      <c r="C21" s="284"/>
      <c r="D21" s="40"/>
      <c r="E21" s="295"/>
      <c r="F21" s="49"/>
      <c r="G21" s="51"/>
      <c r="L21" s="172"/>
    </row>
    <row r="22" spans="1:12">
      <c r="A22" s="279" t="s">
        <v>100</v>
      </c>
      <c r="B22" s="279"/>
      <c r="C22" s="285"/>
      <c r="D22" s="281" t="s">
        <v>94</v>
      </c>
      <c r="E22" s="297" t="s">
        <v>95</v>
      </c>
      <c r="F22" s="49"/>
      <c r="G22" s="49"/>
      <c r="L22" s="172"/>
    </row>
    <row r="23" spans="1:12">
      <c r="A23" s="283" t="s">
        <v>500</v>
      </c>
      <c r="B23" s="62"/>
      <c r="C23" s="36">
        <f>'Debt Sizing'!L22</f>
        <v>4725000</v>
      </c>
      <c r="D23" s="37">
        <f t="shared" ref="D23:D30" si="6">C23/totalunits</f>
        <v>34742.647058823532</v>
      </c>
      <c r="E23" s="295">
        <f ca="1">C23/C$33</f>
        <v>0.11442292139104658</v>
      </c>
      <c r="F23" s="49"/>
      <c r="G23" s="49"/>
      <c r="K23" s="172"/>
    </row>
    <row r="24" spans="1:12">
      <c r="A24" s="283" t="s">
        <v>189</v>
      </c>
      <c r="B24" s="62"/>
      <c r="C24" s="36">
        <f>C37</f>
        <v>2500000</v>
      </c>
      <c r="D24" s="37">
        <f t="shared" si="6"/>
        <v>18382.352941176472</v>
      </c>
      <c r="E24" s="295">
        <f ca="1">C24/C$33</f>
        <v>6.0541228249230992E-2</v>
      </c>
      <c r="F24" s="51"/>
      <c r="G24" s="49"/>
      <c r="K24" s="172"/>
    </row>
    <row r="25" spans="1:12">
      <c r="A25" s="283" t="str">
        <f>A10</f>
        <v>VIHA CDBG-DR</v>
      </c>
      <c r="B25" s="513"/>
      <c r="C25" s="622">
        <f>6000000+5000000</f>
        <v>11000000</v>
      </c>
      <c r="D25" s="37">
        <f>C25/totalunits</f>
        <v>80882.352941176476</v>
      </c>
      <c r="E25" s="295">
        <f ca="1">C25/C$33</f>
        <v>0.26638140429661639</v>
      </c>
      <c r="F25" s="51"/>
      <c r="G25" s="49"/>
      <c r="K25" s="113"/>
    </row>
    <row r="26" spans="1:12" hidden="1">
      <c r="A26" s="283" t="str">
        <f>A11</f>
        <v>VIHA Reimbursement FEMA 404</v>
      </c>
      <c r="B26" s="513"/>
      <c r="C26" s="622"/>
      <c r="D26" s="37">
        <f>C26/totalunits</f>
        <v>0</v>
      </c>
      <c r="E26" s="295">
        <f t="shared" ref="E26:E27" ca="1" si="7">C26/C$33</f>
        <v>0</v>
      </c>
      <c r="F26" s="51"/>
      <c r="G26" s="49"/>
      <c r="K26" s="113"/>
    </row>
    <row r="27" spans="1:12">
      <c r="A27" s="283" t="str">
        <f>A12</f>
        <v>VIHA Reimbursement FEMA PA/428</v>
      </c>
      <c r="B27" s="513"/>
      <c r="C27" s="622">
        <v>8050000</v>
      </c>
      <c r="D27" s="37">
        <f>C27/totalunits</f>
        <v>59191.176470588238</v>
      </c>
      <c r="E27" s="295">
        <f t="shared" ca="1" si="7"/>
        <v>0.19494275496252381</v>
      </c>
      <c r="F27" s="51"/>
      <c r="G27" s="49"/>
      <c r="K27" s="113"/>
    </row>
    <row r="28" spans="1:12" hidden="1">
      <c r="A28" s="283"/>
      <c r="B28" s="513"/>
      <c r="C28" s="622"/>
      <c r="D28" s="37">
        <f>C28/totalunits</f>
        <v>0</v>
      </c>
      <c r="E28" s="295">
        <f t="shared" ref="E28" ca="1" si="8">C28/C$33</f>
        <v>0</v>
      </c>
      <c r="F28" s="51"/>
      <c r="G28" s="49"/>
      <c r="K28" s="113"/>
    </row>
    <row r="29" spans="1:12">
      <c r="A29" s="283" t="s">
        <v>281</v>
      </c>
      <c r="B29" s="62"/>
      <c r="C29" s="749">
        <f ca="1">ROUND('Tax Credits'!D35, 0)</f>
        <v>13708183</v>
      </c>
      <c r="D29" s="37">
        <f ca="1">C29/totalunits</f>
        <v>100795.46323529411</v>
      </c>
      <c r="E29" s="295">
        <f ca="1">C29/C$33</f>
        <v>0.33196409435409124</v>
      </c>
      <c r="F29" s="49"/>
      <c r="G29" s="49"/>
    </row>
    <row r="30" spans="1:12">
      <c r="A30" s="283" t="s">
        <v>113</v>
      </c>
      <c r="B30" s="62"/>
      <c r="C30" s="146">
        <f>C68</f>
        <v>0</v>
      </c>
      <c r="D30" s="37">
        <f t="shared" si="6"/>
        <v>0</v>
      </c>
      <c r="E30" s="295">
        <f ca="1">C30/C$33</f>
        <v>0</v>
      </c>
      <c r="F30" s="160"/>
      <c r="G30" s="49"/>
    </row>
    <row r="31" spans="1:12">
      <c r="A31" s="283" t="s">
        <v>348</v>
      </c>
      <c r="B31" s="513"/>
      <c r="C31" s="146">
        <f>C16</f>
        <v>165000</v>
      </c>
      <c r="D31" s="37">
        <f t="shared" ref="D31" si="9">C31/totalunits</f>
        <v>1213.2352941176471</v>
      </c>
      <c r="E31" s="295">
        <f t="shared" ref="E31" ca="1" si="10">C31/C$33</f>
        <v>3.9957210644492452E-3</v>
      </c>
      <c r="F31" s="160"/>
      <c r="G31" s="49"/>
    </row>
    <row r="32" spans="1:12">
      <c r="A32" s="283" t="s">
        <v>280</v>
      </c>
      <c r="B32" s="513"/>
      <c r="C32" s="146">
        <f ca="1">'Cash Flow'!C41-SUM('Cash Flow'!F43:T43)-5919</f>
        <v>1145990.7770534179</v>
      </c>
      <c r="D32" s="37">
        <f t="shared" ref="D32" ca="1" si="11">C32/totalunits</f>
        <v>8426.4027724516018</v>
      </c>
      <c r="E32" s="295">
        <f ca="1">C32/C$33</f>
        <v>2.7751875682041825E-2</v>
      </c>
      <c r="F32" s="621"/>
      <c r="G32" s="51"/>
      <c r="K32" s="172"/>
      <c r="L32" s="15"/>
    </row>
    <row r="33" spans="1:12">
      <c r="A33" s="403" t="s">
        <v>107</v>
      </c>
      <c r="B33" s="403"/>
      <c r="C33" s="753">
        <f ca="1">SUM(C23:C32)</f>
        <v>41294173.777053416</v>
      </c>
      <c r="D33" s="404">
        <f ca="1">SUM(D23:D32)</f>
        <v>303633.63071362802</v>
      </c>
      <c r="E33" s="405">
        <f ca="1">SUM(E23:E32)</f>
        <v>1</v>
      </c>
      <c r="F33" s="49"/>
      <c r="G33" s="49"/>
      <c r="K33" s="172"/>
      <c r="L33" s="372"/>
    </row>
    <row r="34" spans="1:12">
      <c r="A34" s="39" t="s">
        <v>33</v>
      </c>
      <c r="B34" s="62"/>
      <c r="C34" s="37">
        <f ca="1">C33-C44</f>
        <v>0.21497983485460281</v>
      </c>
      <c r="D34" s="40">
        <f ca="1">C34/E4</f>
        <v>1.5807340798132559E-3</v>
      </c>
      <c r="E34" s="295"/>
      <c r="F34" s="49"/>
      <c r="G34" s="49"/>
      <c r="K34" s="172"/>
      <c r="L34" s="372"/>
    </row>
    <row r="35" spans="1:12">
      <c r="A35" s="39"/>
      <c r="B35" s="62"/>
      <c r="C35" s="284"/>
      <c r="D35" s="40"/>
      <c r="E35" s="295"/>
      <c r="F35" s="49"/>
      <c r="K35" s="113"/>
    </row>
    <row r="36" spans="1:12">
      <c r="A36" s="279" t="s">
        <v>112</v>
      </c>
      <c r="B36" s="279"/>
      <c r="C36" s="285"/>
      <c r="D36" s="281" t="s">
        <v>94</v>
      </c>
      <c r="E36" s="297" t="s">
        <v>95</v>
      </c>
      <c r="F36" s="49"/>
    </row>
    <row r="37" spans="1:12">
      <c r="A37" s="283" t="s">
        <v>82</v>
      </c>
      <c r="B37" s="62"/>
      <c r="C37" s="36">
        <f>'Devel. Bud'!D12</f>
        <v>2500000</v>
      </c>
      <c r="D37" s="37">
        <f t="shared" ref="D37:D38" si="12">C37/totalunits</f>
        <v>18382.352941176472</v>
      </c>
      <c r="E37" s="295">
        <f t="shared" ref="E37:E43" ca="1" si="13">C37/$C$44</f>
        <v>6.0541228564412096E-2</v>
      </c>
      <c r="F37" s="243"/>
      <c r="G37" s="493"/>
    </row>
    <row r="38" spans="1:12">
      <c r="A38" s="283" t="s">
        <v>46</v>
      </c>
      <c r="B38" s="62"/>
      <c r="C38" s="36">
        <f>'Devel. Bud'!D19</f>
        <v>22742658</v>
      </c>
      <c r="D38" s="37">
        <f t="shared" si="12"/>
        <v>167225.42647058822</v>
      </c>
      <c r="E38" s="295">
        <f t="shared" ca="1" si="13"/>
        <v>0.55074738245610211</v>
      </c>
      <c r="F38" s="49"/>
    </row>
    <row r="39" spans="1:12">
      <c r="A39" s="286" t="s">
        <v>44</v>
      </c>
      <c r="B39" s="62"/>
      <c r="C39" s="36">
        <f ca="1">'Devel. Bud'!D38</f>
        <v>2403000</v>
      </c>
      <c r="D39" s="37">
        <f ca="1">C39/totalunits</f>
        <v>17669.117647058825</v>
      </c>
      <c r="E39" s="295">
        <f t="shared" ca="1" si="13"/>
        <v>5.8192228896112912E-2</v>
      </c>
      <c r="F39" s="49"/>
    </row>
    <row r="40" spans="1:12">
      <c r="A40" s="286" t="s">
        <v>45</v>
      </c>
      <c r="B40" s="62"/>
      <c r="C40" s="36">
        <f ca="1">'Devel. Bud'!D61+'Devel. Bud'!D48</f>
        <v>1594270.5</v>
      </c>
      <c r="D40" s="37">
        <f ca="1">C40/totalunits</f>
        <v>11722.577205882353</v>
      </c>
      <c r="E40" s="295">
        <f t="shared" ca="1" si="13"/>
        <v>3.8607637893599826E-2</v>
      </c>
      <c r="F40" s="49"/>
    </row>
    <row r="41" spans="1:12">
      <c r="A41" s="286" t="s">
        <v>80</v>
      </c>
      <c r="B41" s="62"/>
      <c r="C41" s="36">
        <f ca="1">+'Devel. Bud'!D78</f>
        <v>4424765.06207358</v>
      </c>
      <c r="D41" s="37">
        <f ca="1">C41/totalunits</f>
        <v>32535.037221129263</v>
      </c>
      <c r="E41" s="295">
        <f t="shared" ca="1" si="13"/>
        <v>0.10715228518672867</v>
      </c>
      <c r="F41" s="49"/>
    </row>
    <row r="42" spans="1:12">
      <c r="A42" s="286" t="s">
        <v>73</v>
      </c>
      <c r="B42" s="62"/>
      <c r="C42" s="36">
        <f ca="1">'Devel. Bud'!D86</f>
        <v>2629480</v>
      </c>
      <c r="D42" s="37">
        <f ca="1">C42/totalunits</f>
        <v>19334.411764705881</v>
      </c>
      <c r="E42" s="295">
        <f t="shared" ca="1" si="13"/>
        <v>6.367677987422013E-2</v>
      </c>
      <c r="F42" s="49"/>
      <c r="G42" s="493"/>
    </row>
    <row r="43" spans="1:12">
      <c r="A43" s="286" t="s">
        <v>256</v>
      </c>
      <c r="B43" s="513"/>
      <c r="C43" s="36">
        <f>'Devel. Bud'!D90</f>
        <v>5000000</v>
      </c>
      <c r="D43" s="37">
        <f>C43/totalunits</f>
        <v>36764.705882352944</v>
      </c>
      <c r="E43" s="295">
        <f t="shared" ca="1" si="13"/>
        <v>0.12108245712882419</v>
      </c>
      <c r="F43" s="49"/>
      <c r="G43" s="493"/>
    </row>
    <row r="44" spans="1:12">
      <c r="A44" s="403" t="s">
        <v>39</v>
      </c>
      <c r="B44" s="403"/>
      <c r="C44" s="753">
        <f ca="1">SUM(C37:C43)</f>
        <v>41294173.562073581</v>
      </c>
      <c r="D44" s="404">
        <f ca="1">SUM(D37:D43)</f>
        <v>303633.62913289398</v>
      </c>
      <c r="E44" s="405">
        <f ca="1">SUM(E37:E43)</f>
        <v>0.99999999999999989</v>
      </c>
      <c r="F44" s="53"/>
    </row>
    <row r="45" spans="1:12">
      <c r="A45" s="39"/>
      <c r="B45" s="62"/>
      <c r="C45" s="146"/>
      <c r="D45" s="287"/>
      <c r="E45" s="287"/>
      <c r="F45" s="49"/>
    </row>
    <row r="46" spans="1:12" hidden="1">
      <c r="A46" s="39" t="s">
        <v>483</v>
      </c>
      <c r="B46" s="700">
        <f>C10+C11+C12</f>
        <v>11000000</v>
      </c>
      <c r="C46" s="732">
        <f>B46/B48</f>
        <v>0.57742782152230976</v>
      </c>
      <c r="D46" s="287"/>
      <c r="E46" s="287"/>
      <c r="F46" s="49"/>
    </row>
    <row r="47" spans="1:12" hidden="1">
      <c r="A47" s="39" t="s">
        <v>484</v>
      </c>
      <c r="B47" s="700">
        <f>B48-B46</f>
        <v>8050000</v>
      </c>
      <c r="C47" s="146"/>
      <c r="D47" s="287"/>
      <c r="E47" s="287"/>
      <c r="F47" s="49"/>
    </row>
    <row r="48" spans="1:12" hidden="1">
      <c r="A48" s="39" t="s">
        <v>485</v>
      </c>
      <c r="B48" s="700">
        <f>C25+C26+C27</f>
        <v>19050000</v>
      </c>
      <c r="C48" s="146"/>
      <c r="D48" s="287"/>
      <c r="E48" s="287"/>
      <c r="F48" s="49"/>
      <c r="G48" s="1106"/>
    </row>
    <row r="49" spans="1:7">
      <c r="A49" s="39"/>
      <c r="B49" s="700"/>
      <c r="C49" s="146"/>
      <c r="D49" s="287"/>
      <c r="E49" s="287"/>
      <c r="F49" s="49"/>
      <c r="G49" s="661"/>
    </row>
    <row r="50" spans="1:7">
      <c r="A50" s="696" t="s">
        <v>619</v>
      </c>
      <c r="B50" s="696"/>
      <c r="C50" s="696"/>
      <c r="D50" s="287"/>
      <c r="E50" s="287"/>
      <c r="F50" s="49"/>
    </row>
    <row r="51" spans="1:7">
      <c r="A51" s="698" t="s">
        <v>620</v>
      </c>
      <c r="B51" s="699"/>
      <c r="C51" s="700">
        <f ca="1">C43-C32</f>
        <v>3854009.2229465824</v>
      </c>
      <c r="D51" s="698"/>
      <c r="E51" s="287"/>
      <c r="F51" s="49"/>
    </row>
    <row r="52" spans="1:7">
      <c r="A52" s="698" t="s">
        <v>621</v>
      </c>
      <c r="B52" s="699"/>
      <c r="C52" s="700">
        <f>G49</f>
        <v>0</v>
      </c>
      <c r="D52" s="698"/>
      <c r="E52" s="287"/>
      <c r="F52" s="49"/>
    </row>
    <row r="53" spans="1:7">
      <c r="A53" s="698" t="s">
        <v>622</v>
      </c>
      <c r="B53" s="699"/>
      <c r="C53" s="700">
        <f ca="1">C52-C51</f>
        <v>-3854009.2229465824</v>
      </c>
      <c r="D53" s="698"/>
      <c r="E53" s="287"/>
      <c r="F53" s="49"/>
    </row>
    <row r="54" spans="1:7">
      <c r="A54" s="698"/>
      <c r="B54" s="699"/>
      <c r="C54" s="700"/>
      <c r="D54" s="698"/>
      <c r="E54" s="287"/>
      <c r="F54" s="49"/>
    </row>
    <row r="55" spans="1:7">
      <c r="A55" s="696" t="s">
        <v>623</v>
      </c>
      <c r="B55" s="696"/>
      <c r="C55" s="696"/>
      <c r="D55" s="698"/>
      <c r="E55" s="287"/>
      <c r="F55" s="49"/>
    </row>
    <row r="56" spans="1:7">
      <c r="A56" s="698" t="s">
        <v>624</v>
      </c>
      <c r="B56"/>
      <c r="C56" s="1107">
        <f>'Cash Flow'!F35</f>
        <v>1.4516343023325837</v>
      </c>
      <c r="D56" s="698"/>
      <c r="E56" s="287"/>
      <c r="F56" s="49"/>
    </row>
    <row r="57" spans="1:7">
      <c r="A57" s="698" t="s">
        <v>625</v>
      </c>
      <c r="B57"/>
      <c r="C57" s="584">
        <f ca="1">'Cash Flow'!Y47</f>
        <v>0</v>
      </c>
      <c r="D57" s="698"/>
      <c r="E57" s="287"/>
      <c r="F57" s="49"/>
    </row>
    <row r="58" spans="1:7">
      <c r="A58" s="39"/>
      <c r="B58" s="513"/>
      <c r="C58" s="146"/>
      <c r="D58" s="287"/>
      <c r="E58" s="287"/>
      <c r="F58" s="49"/>
    </row>
    <row r="59" spans="1:7" s="502" customFormat="1">
      <c r="A59" s="696" t="s">
        <v>339</v>
      </c>
      <c r="B59" s="696"/>
      <c r="C59" s="696"/>
      <c r="D59" s="697"/>
      <c r="E59" s="697"/>
      <c r="F59" s="49"/>
      <c r="G59" s="8"/>
    </row>
    <row r="60" spans="1:7" s="502" customFormat="1">
      <c r="A60" s="698" t="s">
        <v>340</v>
      </c>
      <c r="B60" s="699"/>
      <c r="C60" s="700">
        <f ca="1">'Devel. Bud'!E94</f>
        <v>36208004</v>
      </c>
      <c r="D60" s="697"/>
      <c r="E60" s="697"/>
      <c r="F60" s="49"/>
      <c r="G60" s="8"/>
    </row>
    <row r="61" spans="1:7" s="502" customFormat="1">
      <c r="A61" s="698" t="s">
        <v>341</v>
      </c>
      <c r="B61" s="699"/>
      <c r="C61" s="701">
        <f ca="1">C7</f>
        <v>19600000</v>
      </c>
      <c r="D61" s="697"/>
      <c r="E61" s="697"/>
      <c r="F61" s="49"/>
      <c r="G61" s="8"/>
    </row>
    <row r="62" spans="1:7" s="502" customFormat="1">
      <c r="A62" s="698" t="s">
        <v>342</v>
      </c>
      <c r="B62" s="699"/>
      <c r="C62" s="702">
        <f ca="1">C61/C60</f>
        <v>0.54131677625753682</v>
      </c>
      <c r="D62" s="697"/>
      <c r="E62" s="697"/>
      <c r="F62" s="49"/>
      <c r="G62" s="8"/>
    </row>
    <row r="63" spans="1:7" s="502" customFormat="1">
      <c r="A63" s="698"/>
      <c r="B63" s="699"/>
      <c r="C63" s="702"/>
      <c r="D63" s="697"/>
      <c r="E63" s="697"/>
      <c r="F63" s="49"/>
      <c r="G63" s="8"/>
    </row>
    <row r="64" spans="1:7" s="17" customFormat="1" ht="13.9" hidden="1">
      <c r="A64" s="279" t="s">
        <v>114</v>
      </c>
      <c r="B64" s="279"/>
      <c r="C64" s="279"/>
      <c r="D64" s="36"/>
      <c r="E64" s="43"/>
      <c r="F64" s="41"/>
    </row>
    <row r="65" spans="1:11" s="17" customFormat="1" ht="13.5" hidden="1">
      <c r="A65" s="288" t="s">
        <v>302</v>
      </c>
      <c r="B65" s="288"/>
      <c r="C65" s="36">
        <f>'Cons Int &amp; Neg Arb'!B15*'Debt Sizing'!C30/12</f>
        <v>1233821.5870160505</v>
      </c>
      <c r="D65" s="43"/>
      <c r="E65" s="43"/>
      <c r="F65" s="41"/>
    </row>
    <row r="66" spans="1:11" s="17" customFormat="1" ht="13.5" hidden="1">
      <c r="A66" s="485" t="s">
        <v>207</v>
      </c>
      <c r="B66" s="485"/>
      <c r="C66" s="486"/>
      <c r="D66" s="43"/>
      <c r="E66" s="43"/>
      <c r="F66" s="41"/>
    </row>
    <row r="67" spans="1:11" s="17" customFormat="1" ht="15" hidden="1" customHeight="1">
      <c r="A67" s="288" t="s">
        <v>208</v>
      </c>
      <c r="B67" s="288"/>
      <c r="C67" s="36">
        <f>SUM(C65:C66)</f>
        <v>1233821.5870160505</v>
      </c>
      <c r="D67" s="43"/>
      <c r="E67" s="43"/>
      <c r="F67" s="41"/>
    </row>
    <row r="68" spans="1:11" hidden="1">
      <c r="A68" s="288" t="s">
        <v>301</v>
      </c>
      <c r="B68" s="625">
        <v>0</v>
      </c>
      <c r="C68" s="624">
        <f>ROUND(C67*B68, 0)</f>
        <v>0</v>
      </c>
      <c r="D68" s="26"/>
      <c r="E68" s="26"/>
      <c r="G68" s="17"/>
      <c r="H68" s="176"/>
      <c r="I68" s="176"/>
      <c r="J68" s="176"/>
      <c r="K68" s="62"/>
    </row>
    <row r="69" spans="1:11" hidden="1">
      <c r="D69" s="234"/>
      <c r="F69" s="62"/>
      <c r="G69" s="62"/>
    </row>
  </sheetData>
  <customSheetViews>
    <customSheetView guid="{25C4E7E7-1006-4A2D-BC83-AEE4ADF8A914}" scale="75" colorId="22" showPageBreaks="1" printArea="1" hiddenRows="1" showRuler="0">
      <selection activeCell="A33" sqref="A33"/>
      <pageMargins left="0.7" right="0.7" top="0.75" bottom="0.75" header="0.3" footer="0.3"/>
      <headerFooter alignWithMargins="0"/>
    </customSheetView>
    <customSheetView guid="{28F81D13-D146-4D67-8981-BA5D7A496326}" scale="87" colorId="22" showPageBreaks="1" printArea="1" showRuler="0" topLeftCell="A7">
      <selection activeCell="H12" sqref="H12"/>
      <pageMargins left="0.7" right="0.7" top="0.75" bottom="0.75" header="0.3" footer="0.3"/>
      <headerFooter alignWithMargins="0"/>
    </customSheetView>
    <customSheetView guid="{AEA5979F-5357-4ED6-A6CA-1BB80F5C7A74}" scale="87" colorId="22" showPageBreaks="1" printArea="1" showRuler="0">
      <selection activeCell="A21" sqref="A21"/>
      <pageMargins left="0.7" right="0.7" top="0.75" bottom="0.75" header="0.3" footer="0.3"/>
      <headerFooter alignWithMargins="0"/>
    </customSheetView>
    <customSheetView guid="{EB776EFC-3589-4DB5-BEAF-1E83D9703F9E}" scale="87" colorId="22" showRuler="0" topLeftCell="A8">
      <selection activeCell="H21" sqref="H21"/>
      <pageMargins left="0.7" right="0.7" top="0.75" bottom="0.75" header="0.3" footer="0.3"/>
      <headerFooter alignWithMargins="0"/>
    </customSheetView>
    <customSheetView guid="{FBB4BF8E-8A9F-4E98-A6F9-5F9BF4C55C67}" scale="87" colorId="22" showPageBreaks="1" showRuler="0" topLeftCell="C5">
      <selection activeCell="I16" sqref="I16"/>
      <pageMargins left="0.7" right="0.7" top="0.75" bottom="0.75" header="0.3" footer="0.3"/>
      <headerFooter alignWithMargins="0"/>
    </customSheetView>
    <customSheetView guid="{6EF643BE-69F3-424E-8A44-3890161370D4}" scale="87" colorId="22" showPageBreaks="1" printArea="1" showRuler="0" topLeftCell="A4">
      <selection activeCell="H13" sqref="H13"/>
      <pageMargins left="0.7" right="0.7" top="0.75" bottom="0.75" header="0.3" footer="0.3"/>
      <headerFooter alignWithMargins="0"/>
    </customSheetView>
    <customSheetView guid="{1ECE83C7-A3CE-4F97-BFD3-498FF783C0D9}" scale="75" colorId="22" showPageBreaks="1" printArea="1" showRuler="0" topLeftCell="A17">
      <selection activeCell="H29" sqref="H29"/>
      <pageMargins left="0.7" right="0.7" top="0.75" bottom="0.75" header="0.3" footer="0.3"/>
      <headerFooter alignWithMargins="0"/>
    </customSheetView>
    <customSheetView guid="{560D4AFA-61E5-46C3-B0CD-D0EB3053A033}" scale="75" colorId="22" showPageBreaks="1" printArea="1" hiddenRows="1" showRuler="0">
      <selection activeCell="B7" sqref="B7:B14"/>
      <pageMargins left="0.7" right="0.7" top="0.75" bottom="0.75" header="0.3" footer="0.3"/>
      <headerFooter alignWithMargins="0"/>
    </customSheetView>
  </customSheetViews>
  <phoneticPr fontId="0" type="noConversion"/>
  <pageMargins left="0.5" right="0.5" top="0.5" bottom="0.4" header="0.3" footer="0.3"/>
  <pageSetup scale="85" orientation="portrait" r:id="rId1"/>
  <headerFooter alignWithMargins="0">
    <oddFooter>&amp;R&amp;10&amp;P of &amp;N</oddFooter>
  </headerFooter>
  <ignoredErrors>
    <ignoredError sqref="D42 C34 C21:C22 D36:D40 D9:D10 D29:D30 D17 D20:D24 D7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 codeName="Sheet10">
    <pageSetUpPr fitToPage="1"/>
  </sheetPr>
  <dimension ref="A1:AI72"/>
  <sheetViews>
    <sheetView showGridLines="0" view="pageBreakPreview" zoomScale="80" zoomScaleNormal="80" zoomScaleSheetLayoutView="80" zoomScalePageLayoutView="75" workbookViewId="0">
      <pane xSplit="3" ySplit="7" topLeftCell="F8" activePane="bottomRight" state="frozen"/>
      <selection pane="topRight" activeCell="D1" sqref="D1"/>
      <selection pane="bottomLeft" activeCell="A7" sqref="A7"/>
      <selection pane="bottomRight" activeCell="C10" sqref="C10"/>
    </sheetView>
  </sheetViews>
  <sheetFormatPr defaultColWidth="8.6640625" defaultRowHeight="15"/>
  <cols>
    <col min="1" max="1" width="33.21875" style="8" customWidth="1"/>
    <col min="2" max="2" width="13.0546875" style="8" customWidth="1"/>
    <col min="3" max="3" width="15.0546875" style="8" bestFit="1" customWidth="1"/>
    <col min="4" max="5" width="10.83203125" style="112" hidden="1" customWidth="1"/>
    <col min="6" max="6" width="10.83203125" style="16" customWidth="1"/>
    <col min="7" max="15" width="10.6640625" style="16" customWidth="1"/>
    <col min="16" max="17" width="10.83203125" style="16" customWidth="1"/>
    <col min="18" max="30" width="10.83203125" style="8" customWidth="1"/>
    <col min="31" max="31" width="15.27734375" style="8" customWidth="1"/>
    <col min="32" max="32" width="10.83203125" style="8" customWidth="1"/>
    <col min="33" max="33" width="12.6640625" style="8" customWidth="1"/>
    <col min="34" max="34" width="10.83203125" style="8" customWidth="1"/>
    <col min="35" max="35" width="12.5546875" style="8" bestFit="1" customWidth="1"/>
    <col min="36" max="16384" width="8.6640625" style="8"/>
  </cols>
  <sheetData>
    <row r="1" spans="1:35" ht="17.649999999999999">
      <c r="A1" s="44" t="str">
        <f>'Units &amp; Income'!A1</f>
        <v>MDG Design and Construction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56"/>
      <c r="X1" s="44"/>
      <c r="Y1" s="44"/>
      <c r="Z1" s="44"/>
      <c r="AA1" s="374"/>
      <c r="AB1" s="56"/>
      <c r="AC1" s="44"/>
      <c r="AD1" s="44"/>
      <c r="AE1" s="44"/>
      <c r="AF1" s="44"/>
      <c r="AG1" s="44"/>
      <c r="AH1" s="44"/>
      <c r="AI1" s="44"/>
    </row>
    <row r="2" spans="1:35" ht="17.649999999999999">
      <c r="A2" s="44" t="str">
        <f>'Sources and Use'!A2</f>
        <v>Virgin Islands: Piggy/Hamilton RAD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374"/>
      <c r="AB2" s="374"/>
      <c r="AC2" s="44"/>
      <c r="AD2" s="44"/>
      <c r="AE2" s="44"/>
      <c r="AF2" s="44"/>
      <c r="AG2" s="44"/>
      <c r="AH2" s="44"/>
      <c r="AI2" s="44"/>
    </row>
    <row r="3" spans="1:35" ht="18" thickBot="1">
      <c r="A3" s="46" t="str">
        <f>'Sources and Use'!A3</f>
        <v>4% LIHTC and FEMA/CDBG-DR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147"/>
      <c r="W3" s="58"/>
      <c r="X3" s="46"/>
      <c r="Y3" s="46"/>
      <c r="Z3" s="46"/>
      <c r="AA3" s="147"/>
      <c r="AB3" s="58"/>
      <c r="AC3" s="46"/>
      <c r="AD3" s="46"/>
      <c r="AE3" s="46"/>
      <c r="AF3" s="46"/>
      <c r="AG3" s="46"/>
      <c r="AH3" s="46"/>
      <c r="AI3" s="46"/>
    </row>
    <row r="4" spans="1:35" s="17" customFormat="1" ht="15.75" customHeight="1">
      <c r="A4" s="48" t="s">
        <v>487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</row>
    <row r="5" spans="1:35" s="21" customFormat="1" ht="15.75" customHeight="1" thickBot="1">
      <c r="A5" s="198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</row>
    <row r="6" spans="1:35" s="112" customFormat="1" ht="17.649999999999999">
      <c r="A6" s="111"/>
      <c r="B6" s="447" t="s">
        <v>190</v>
      </c>
      <c r="C6" s="375" t="s">
        <v>216</v>
      </c>
      <c r="D6" s="1129" t="s">
        <v>192</v>
      </c>
      <c r="E6" s="1130"/>
      <c r="F6" s="496">
        <v>3</v>
      </c>
      <c r="G6" s="496">
        <f>F6+1</f>
        <v>4</v>
      </c>
      <c r="H6" s="496">
        <f t="shared" ref="H6:AI6" si="0">G6+1</f>
        <v>5</v>
      </c>
      <c r="I6" s="496">
        <f t="shared" si="0"/>
        <v>6</v>
      </c>
      <c r="J6" s="496">
        <f t="shared" si="0"/>
        <v>7</v>
      </c>
      <c r="K6" s="496">
        <f t="shared" si="0"/>
        <v>8</v>
      </c>
      <c r="L6" s="496">
        <f t="shared" si="0"/>
        <v>9</v>
      </c>
      <c r="M6" s="496">
        <f t="shared" si="0"/>
        <v>10</v>
      </c>
      <c r="N6" s="496">
        <f t="shared" si="0"/>
        <v>11</v>
      </c>
      <c r="O6" s="496">
        <f t="shared" si="0"/>
        <v>12</v>
      </c>
      <c r="P6" s="496">
        <f t="shared" si="0"/>
        <v>13</v>
      </c>
      <c r="Q6" s="496">
        <f t="shared" si="0"/>
        <v>14</v>
      </c>
      <c r="R6" s="496">
        <f t="shared" si="0"/>
        <v>15</v>
      </c>
      <c r="S6" s="496">
        <f t="shared" si="0"/>
        <v>16</v>
      </c>
      <c r="T6" s="496">
        <f t="shared" si="0"/>
        <v>17</v>
      </c>
      <c r="U6" s="496">
        <f t="shared" si="0"/>
        <v>18</v>
      </c>
      <c r="V6" s="496">
        <f t="shared" si="0"/>
        <v>19</v>
      </c>
      <c r="W6" s="496">
        <f t="shared" si="0"/>
        <v>20</v>
      </c>
      <c r="X6" s="496">
        <f t="shared" si="0"/>
        <v>21</v>
      </c>
      <c r="Y6" s="496">
        <f t="shared" si="0"/>
        <v>22</v>
      </c>
      <c r="Z6" s="496">
        <f t="shared" si="0"/>
        <v>23</v>
      </c>
      <c r="AA6" s="496">
        <f t="shared" si="0"/>
        <v>24</v>
      </c>
      <c r="AB6" s="496">
        <f t="shared" si="0"/>
        <v>25</v>
      </c>
      <c r="AC6" s="496">
        <f t="shared" si="0"/>
        <v>26</v>
      </c>
      <c r="AD6" s="496">
        <f t="shared" si="0"/>
        <v>27</v>
      </c>
      <c r="AE6" s="496">
        <f t="shared" si="0"/>
        <v>28</v>
      </c>
      <c r="AF6" s="496">
        <f t="shared" si="0"/>
        <v>29</v>
      </c>
      <c r="AG6" s="496">
        <f t="shared" si="0"/>
        <v>30</v>
      </c>
      <c r="AH6" s="496">
        <f t="shared" si="0"/>
        <v>31</v>
      </c>
      <c r="AI6" s="496">
        <f t="shared" si="0"/>
        <v>32</v>
      </c>
    </row>
    <row r="7" spans="1:35" s="13" customFormat="1">
      <c r="A7" s="376" t="s">
        <v>105</v>
      </c>
      <c r="B7" s="448" t="s">
        <v>191</v>
      </c>
      <c r="C7" s="375" t="s">
        <v>215</v>
      </c>
      <c r="D7" s="402">
        <v>1</v>
      </c>
      <c r="E7" s="377">
        <v>2</v>
      </c>
      <c r="F7" s="377">
        <v>1</v>
      </c>
      <c r="G7" s="377">
        <v>2</v>
      </c>
      <c r="H7" s="377">
        <v>3</v>
      </c>
      <c r="I7" s="377">
        <v>4</v>
      </c>
      <c r="J7" s="377">
        <v>5</v>
      </c>
      <c r="K7" s="377">
        <v>6</v>
      </c>
      <c r="L7" s="377">
        <v>7</v>
      </c>
      <c r="M7" s="377">
        <v>8</v>
      </c>
      <c r="N7" s="377">
        <v>9</v>
      </c>
      <c r="O7" s="377">
        <v>10</v>
      </c>
      <c r="P7" s="377">
        <v>11</v>
      </c>
      <c r="Q7" s="377">
        <v>12</v>
      </c>
      <c r="R7" s="377">
        <v>13</v>
      </c>
      <c r="S7" s="377">
        <v>14</v>
      </c>
      <c r="T7" s="377">
        <v>15</v>
      </c>
      <c r="U7" s="377">
        <v>16</v>
      </c>
      <c r="V7" s="377">
        <v>17</v>
      </c>
      <c r="W7" s="377">
        <v>18</v>
      </c>
      <c r="X7" s="377">
        <v>19</v>
      </c>
      <c r="Y7" s="377">
        <v>20</v>
      </c>
      <c r="Z7" s="377">
        <v>21</v>
      </c>
      <c r="AA7" s="377">
        <v>22</v>
      </c>
      <c r="AB7" s="377">
        <v>23</v>
      </c>
      <c r="AC7" s="377">
        <v>24</v>
      </c>
      <c r="AD7" s="377">
        <v>25</v>
      </c>
      <c r="AE7" s="377">
        <v>26</v>
      </c>
      <c r="AF7" s="377">
        <v>27</v>
      </c>
      <c r="AG7" s="377">
        <v>28</v>
      </c>
      <c r="AH7" s="377">
        <v>29</v>
      </c>
      <c r="AI7" s="377">
        <v>30</v>
      </c>
    </row>
    <row r="8" spans="1:35">
      <c r="A8" s="273" t="s">
        <v>67</v>
      </c>
      <c r="B8" s="412">
        <v>0.02</v>
      </c>
      <c r="F8" s="32">
        <f>'Debt Sizing'!E9</f>
        <v>2205913.452</v>
      </c>
      <c r="G8" s="32">
        <f t="shared" ref="G8:AI8" si="1">F8*(1+$B$8)</f>
        <v>2250031.7210400002</v>
      </c>
      <c r="H8" s="32">
        <f t="shared" si="1"/>
        <v>2295032.3554608002</v>
      </c>
      <c r="I8" s="32">
        <f t="shared" si="1"/>
        <v>2340933.0025700163</v>
      </c>
      <c r="J8" s="32">
        <f t="shared" si="1"/>
        <v>2387751.6626214166</v>
      </c>
      <c r="K8" s="32">
        <f t="shared" si="1"/>
        <v>2435506.6958738449</v>
      </c>
      <c r="L8" s="32">
        <f t="shared" si="1"/>
        <v>2484216.8297913219</v>
      </c>
      <c r="M8" s="32">
        <f t="shared" si="1"/>
        <v>2533901.1663871482</v>
      </c>
      <c r="N8" s="32">
        <f t="shared" si="1"/>
        <v>2584579.1897148914</v>
      </c>
      <c r="O8" s="32">
        <f t="shared" si="1"/>
        <v>2636270.773509189</v>
      </c>
      <c r="P8" s="32">
        <f t="shared" si="1"/>
        <v>2688996.1889793728</v>
      </c>
      <c r="Q8" s="32">
        <f t="shared" si="1"/>
        <v>2742776.1127589606</v>
      </c>
      <c r="R8" s="32">
        <f t="shared" si="1"/>
        <v>2797631.63501414</v>
      </c>
      <c r="S8" s="32">
        <f t="shared" si="1"/>
        <v>2853584.2677144231</v>
      </c>
      <c r="T8" s="32">
        <f t="shared" si="1"/>
        <v>2910655.9530687118</v>
      </c>
      <c r="U8" s="32">
        <f t="shared" si="1"/>
        <v>2968869.0721300859</v>
      </c>
      <c r="V8" s="32">
        <f t="shared" si="1"/>
        <v>3028246.4535726877</v>
      </c>
      <c r="W8" s="32">
        <f t="shared" si="1"/>
        <v>3088811.3826441416</v>
      </c>
      <c r="X8" s="32">
        <f t="shared" si="1"/>
        <v>3150587.6102970243</v>
      </c>
      <c r="Y8" s="32">
        <f t="shared" si="1"/>
        <v>3213599.3625029647</v>
      </c>
      <c r="Z8" s="32">
        <f t="shared" si="1"/>
        <v>3277871.3497530241</v>
      </c>
      <c r="AA8" s="32">
        <f t="shared" si="1"/>
        <v>3343428.7767480845</v>
      </c>
      <c r="AB8" s="32">
        <f t="shared" si="1"/>
        <v>3410297.3522830461</v>
      </c>
      <c r="AC8" s="32">
        <f t="shared" si="1"/>
        <v>3478503.2993287072</v>
      </c>
      <c r="AD8" s="32">
        <f t="shared" si="1"/>
        <v>3548073.3653152813</v>
      </c>
      <c r="AE8" s="32">
        <f t="shared" si="1"/>
        <v>3619034.832621587</v>
      </c>
      <c r="AF8" s="32">
        <f t="shared" si="1"/>
        <v>3691415.5292740189</v>
      </c>
      <c r="AG8" s="32">
        <f t="shared" si="1"/>
        <v>3765243.8398594996</v>
      </c>
      <c r="AH8" s="32">
        <f t="shared" si="1"/>
        <v>3840548.7166566895</v>
      </c>
      <c r="AI8" s="32">
        <f t="shared" si="1"/>
        <v>3917359.6909898235</v>
      </c>
    </row>
    <row r="9" spans="1:35">
      <c r="A9" s="273" t="s">
        <v>93</v>
      </c>
      <c r="B9" s="412">
        <v>0.02</v>
      </c>
      <c r="F9" s="32">
        <f>'Debt Sizing'!E14</f>
        <v>0</v>
      </c>
      <c r="G9" s="32">
        <f t="shared" ref="G9:AI9" si="2">F9*(1+$B$9)</f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32">
        <f t="shared" si="2"/>
        <v>0</v>
      </c>
      <c r="Q9" s="32">
        <f t="shared" si="2"/>
        <v>0</v>
      </c>
      <c r="R9" s="32">
        <f t="shared" si="2"/>
        <v>0</v>
      </c>
      <c r="S9" s="32">
        <f t="shared" si="2"/>
        <v>0</v>
      </c>
      <c r="T9" s="32">
        <f t="shared" si="2"/>
        <v>0</v>
      </c>
      <c r="U9" s="32">
        <f t="shared" si="2"/>
        <v>0</v>
      </c>
      <c r="V9" s="32">
        <f t="shared" si="2"/>
        <v>0</v>
      </c>
      <c r="W9" s="32">
        <f t="shared" si="2"/>
        <v>0</v>
      </c>
      <c r="X9" s="32">
        <f t="shared" si="2"/>
        <v>0</v>
      </c>
      <c r="Y9" s="32">
        <f t="shared" si="2"/>
        <v>0</v>
      </c>
      <c r="Z9" s="32">
        <f t="shared" si="2"/>
        <v>0</v>
      </c>
      <c r="AA9" s="32">
        <f t="shared" si="2"/>
        <v>0</v>
      </c>
      <c r="AB9" s="32">
        <f t="shared" si="2"/>
        <v>0</v>
      </c>
      <c r="AC9" s="32">
        <f t="shared" si="2"/>
        <v>0</v>
      </c>
      <c r="AD9" s="32">
        <f t="shared" si="2"/>
        <v>0</v>
      </c>
      <c r="AE9" s="32">
        <f t="shared" si="2"/>
        <v>0</v>
      </c>
      <c r="AF9" s="32">
        <f t="shared" si="2"/>
        <v>0</v>
      </c>
      <c r="AG9" s="32">
        <f t="shared" si="2"/>
        <v>0</v>
      </c>
      <c r="AH9" s="32">
        <f t="shared" si="2"/>
        <v>0</v>
      </c>
      <c r="AI9" s="32">
        <f t="shared" si="2"/>
        <v>0</v>
      </c>
    </row>
    <row r="10" spans="1:35" s="6" customFormat="1">
      <c r="A10" s="386" t="s">
        <v>103</v>
      </c>
      <c r="B10" s="449"/>
      <c r="D10" s="391"/>
      <c r="E10" s="391"/>
      <c r="F10" s="275">
        <f t="shared" ref="F10:AI10" si="3">SUM(F8:F9)</f>
        <v>2205913.452</v>
      </c>
      <c r="G10" s="275">
        <f t="shared" si="3"/>
        <v>2250031.7210400002</v>
      </c>
      <c r="H10" s="275">
        <f t="shared" si="3"/>
        <v>2295032.3554608002</v>
      </c>
      <c r="I10" s="275">
        <f t="shared" si="3"/>
        <v>2340933.0025700163</v>
      </c>
      <c r="J10" s="275">
        <f t="shared" si="3"/>
        <v>2387751.6626214166</v>
      </c>
      <c r="K10" s="275">
        <f t="shared" si="3"/>
        <v>2435506.6958738449</v>
      </c>
      <c r="L10" s="275">
        <f t="shared" si="3"/>
        <v>2484216.8297913219</v>
      </c>
      <c r="M10" s="275">
        <f t="shared" si="3"/>
        <v>2533901.1663871482</v>
      </c>
      <c r="N10" s="275">
        <f t="shared" si="3"/>
        <v>2584579.1897148914</v>
      </c>
      <c r="O10" s="275">
        <f t="shared" si="3"/>
        <v>2636270.773509189</v>
      </c>
      <c r="P10" s="275">
        <f t="shared" si="3"/>
        <v>2688996.1889793728</v>
      </c>
      <c r="Q10" s="275">
        <f t="shared" si="3"/>
        <v>2742776.1127589606</v>
      </c>
      <c r="R10" s="275">
        <f t="shared" si="3"/>
        <v>2797631.63501414</v>
      </c>
      <c r="S10" s="275">
        <f t="shared" si="3"/>
        <v>2853584.2677144231</v>
      </c>
      <c r="T10" s="275">
        <f t="shared" si="3"/>
        <v>2910655.9530687118</v>
      </c>
      <c r="U10" s="275">
        <f t="shared" si="3"/>
        <v>2968869.0721300859</v>
      </c>
      <c r="V10" s="275">
        <f t="shared" si="3"/>
        <v>3028246.4535726877</v>
      </c>
      <c r="W10" s="275">
        <f t="shared" si="3"/>
        <v>3088811.3826441416</v>
      </c>
      <c r="X10" s="275">
        <f t="shared" si="3"/>
        <v>3150587.6102970243</v>
      </c>
      <c r="Y10" s="275">
        <f t="shared" si="3"/>
        <v>3213599.3625029647</v>
      </c>
      <c r="Z10" s="275">
        <f t="shared" si="3"/>
        <v>3277871.3497530241</v>
      </c>
      <c r="AA10" s="275">
        <f t="shared" si="3"/>
        <v>3343428.7767480845</v>
      </c>
      <c r="AB10" s="275">
        <f t="shared" si="3"/>
        <v>3410297.3522830461</v>
      </c>
      <c r="AC10" s="275">
        <f t="shared" si="3"/>
        <v>3478503.2993287072</v>
      </c>
      <c r="AD10" s="275">
        <f t="shared" si="3"/>
        <v>3548073.3653152813</v>
      </c>
      <c r="AE10" s="275">
        <f t="shared" si="3"/>
        <v>3619034.832621587</v>
      </c>
      <c r="AF10" s="275">
        <f t="shared" si="3"/>
        <v>3691415.5292740189</v>
      </c>
      <c r="AG10" s="275">
        <f t="shared" si="3"/>
        <v>3765243.8398594996</v>
      </c>
      <c r="AH10" s="275">
        <f t="shared" si="3"/>
        <v>3840548.7166566895</v>
      </c>
      <c r="AI10" s="275">
        <f t="shared" si="3"/>
        <v>3917359.6909898235</v>
      </c>
    </row>
    <row r="11" spans="1:35">
      <c r="A11" s="378"/>
      <c r="B11" s="450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</row>
    <row r="12" spans="1:35">
      <c r="A12" s="376" t="s">
        <v>106</v>
      </c>
      <c r="B12" s="450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</row>
    <row r="13" spans="1:35">
      <c r="A13" s="566" t="str">
        <f>'Debt Sizing'!A20</f>
        <v>Payroll</v>
      </c>
      <c r="B13" s="412">
        <v>0.03</v>
      </c>
      <c r="F13" s="32">
        <f>'Debt Sizing'!G20</f>
        <v>314704</v>
      </c>
      <c r="G13" s="32">
        <f t="shared" ref="G13:AI13" si="4">F13*(1+$B13)</f>
        <v>324145.12</v>
      </c>
      <c r="H13" s="32">
        <f t="shared" si="4"/>
        <v>333869.47360000003</v>
      </c>
      <c r="I13" s="32">
        <f t="shared" si="4"/>
        <v>343885.55780800001</v>
      </c>
      <c r="J13" s="32">
        <f t="shared" si="4"/>
        <v>354202.12454224</v>
      </c>
      <c r="K13" s="32">
        <f t="shared" si="4"/>
        <v>364828.18827850721</v>
      </c>
      <c r="L13" s="32">
        <f t="shared" si="4"/>
        <v>375773.03392686241</v>
      </c>
      <c r="M13" s="32">
        <f t="shared" si="4"/>
        <v>387046.2249446683</v>
      </c>
      <c r="N13" s="32">
        <f t="shared" si="4"/>
        <v>398657.61169300834</v>
      </c>
      <c r="O13" s="32">
        <f t="shared" si="4"/>
        <v>410617.34004379861</v>
      </c>
      <c r="P13" s="32">
        <f t="shared" si="4"/>
        <v>422935.86024511256</v>
      </c>
      <c r="Q13" s="32">
        <f t="shared" si="4"/>
        <v>435623.93605246593</v>
      </c>
      <c r="R13" s="32">
        <f t="shared" si="4"/>
        <v>448692.65413403994</v>
      </c>
      <c r="S13" s="32">
        <f t="shared" si="4"/>
        <v>462153.43375806115</v>
      </c>
      <c r="T13" s="32">
        <f t="shared" si="4"/>
        <v>476018.03677080298</v>
      </c>
      <c r="U13" s="32">
        <f t="shared" si="4"/>
        <v>490298.57787392708</v>
      </c>
      <c r="V13" s="32">
        <f t="shared" si="4"/>
        <v>505007.53521014488</v>
      </c>
      <c r="W13" s="32">
        <f t="shared" si="4"/>
        <v>520157.76126644923</v>
      </c>
      <c r="X13" s="32">
        <f t="shared" si="4"/>
        <v>535762.49410444277</v>
      </c>
      <c r="Y13" s="32">
        <f t="shared" si="4"/>
        <v>551835.36892757611</v>
      </c>
      <c r="Z13" s="32">
        <f t="shared" si="4"/>
        <v>568390.42999540339</v>
      </c>
      <c r="AA13" s="32">
        <f t="shared" si="4"/>
        <v>585442.14289526548</v>
      </c>
      <c r="AB13" s="32">
        <f t="shared" si="4"/>
        <v>603005.40718212351</v>
      </c>
      <c r="AC13" s="32">
        <f t="shared" si="4"/>
        <v>621095.56939758721</v>
      </c>
      <c r="AD13" s="32">
        <f t="shared" si="4"/>
        <v>639728.43647951481</v>
      </c>
      <c r="AE13" s="32">
        <f t="shared" si="4"/>
        <v>658920.28957390029</v>
      </c>
      <c r="AF13" s="32">
        <f t="shared" si="4"/>
        <v>678687.89826111728</v>
      </c>
      <c r="AG13" s="32">
        <f t="shared" si="4"/>
        <v>699048.53520895087</v>
      </c>
      <c r="AH13" s="32">
        <f t="shared" si="4"/>
        <v>720019.9912652194</v>
      </c>
      <c r="AI13" s="32">
        <f t="shared" si="4"/>
        <v>741620.59100317606</v>
      </c>
    </row>
    <row r="14" spans="1:35">
      <c r="A14" s="566" t="str">
        <f>'Debt Sizing'!A21</f>
        <v>Utilities</v>
      </c>
      <c r="B14" s="412">
        <v>0.03</v>
      </c>
      <c r="F14" s="32">
        <f>'Debt Sizing'!G21</f>
        <v>214728.50207357999</v>
      </c>
      <c r="G14" s="32">
        <f t="shared" ref="G14:AI14" si="5">F14*(1+$B14)</f>
        <v>221170.3571357874</v>
      </c>
      <c r="H14" s="32">
        <f t="shared" si="5"/>
        <v>227805.46784986104</v>
      </c>
      <c r="I14" s="32">
        <f t="shared" si="5"/>
        <v>234639.63188535688</v>
      </c>
      <c r="J14" s="32">
        <f t="shared" si="5"/>
        <v>241678.82084191759</v>
      </c>
      <c r="K14" s="32">
        <f t="shared" si="5"/>
        <v>248929.18546717512</v>
      </c>
      <c r="L14" s="32">
        <f t="shared" si="5"/>
        <v>256397.06103119039</v>
      </c>
      <c r="M14" s="32">
        <f t="shared" si="5"/>
        <v>264088.97286212613</v>
      </c>
      <c r="N14" s="32">
        <f t="shared" si="5"/>
        <v>272011.64204798994</v>
      </c>
      <c r="O14" s="32">
        <f t="shared" si="5"/>
        <v>280171.99130942964</v>
      </c>
      <c r="P14" s="32">
        <f t="shared" si="5"/>
        <v>288577.15104871255</v>
      </c>
      <c r="Q14" s="32">
        <f t="shared" si="5"/>
        <v>297234.46558017394</v>
      </c>
      <c r="R14" s="32">
        <f t="shared" si="5"/>
        <v>306151.49954757915</v>
      </c>
      <c r="S14" s="32">
        <f t="shared" si="5"/>
        <v>315336.04453400651</v>
      </c>
      <c r="T14" s="32">
        <f t="shared" si="5"/>
        <v>324796.12587002671</v>
      </c>
      <c r="U14" s="32">
        <f t="shared" si="5"/>
        <v>334540.00964612752</v>
      </c>
      <c r="V14" s="32">
        <f t="shared" si="5"/>
        <v>344576.20993551135</v>
      </c>
      <c r="W14" s="32">
        <f t="shared" si="5"/>
        <v>354913.49623357668</v>
      </c>
      <c r="X14" s="32">
        <f t="shared" si="5"/>
        <v>365560.90112058399</v>
      </c>
      <c r="Y14" s="32">
        <f t="shared" si="5"/>
        <v>376527.72815420153</v>
      </c>
      <c r="Z14" s="32">
        <f t="shared" si="5"/>
        <v>387823.55999882758</v>
      </c>
      <c r="AA14" s="32">
        <f t="shared" si="5"/>
        <v>399458.26679879241</v>
      </c>
      <c r="AB14" s="32">
        <f t="shared" si="5"/>
        <v>411442.0148027562</v>
      </c>
      <c r="AC14" s="32">
        <f t="shared" si="5"/>
        <v>423785.27524683886</v>
      </c>
      <c r="AD14" s="32">
        <f t="shared" si="5"/>
        <v>436498.83350424404</v>
      </c>
      <c r="AE14" s="32">
        <f t="shared" si="5"/>
        <v>449593.79850937135</v>
      </c>
      <c r="AF14" s="32">
        <f t="shared" si="5"/>
        <v>463081.61246465251</v>
      </c>
      <c r="AG14" s="32">
        <f t="shared" si="5"/>
        <v>476974.06083859212</v>
      </c>
      <c r="AH14" s="32">
        <f t="shared" si="5"/>
        <v>491283.28266374988</v>
      </c>
      <c r="AI14" s="32">
        <f t="shared" si="5"/>
        <v>506021.7811436624</v>
      </c>
    </row>
    <row r="15" spans="1:35">
      <c r="A15" s="566" t="str">
        <f>'Debt Sizing'!A22</f>
        <v>Admin</v>
      </c>
      <c r="B15" s="412">
        <v>0.03</v>
      </c>
      <c r="F15" s="32">
        <f>'Debt Sizing'!G22</f>
        <v>789478.64</v>
      </c>
      <c r="G15" s="32">
        <f t="shared" ref="G15:AI15" si="6">F15*(1+$B15)</f>
        <v>813162.99920000008</v>
      </c>
      <c r="H15" s="32">
        <f t="shared" si="6"/>
        <v>837557.88917600014</v>
      </c>
      <c r="I15" s="32">
        <f t="shared" si="6"/>
        <v>862684.62585128017</v>
      </c>
      <c r="J15" s="32">
        <f t="shared" si="6"/>
        <v>888565.16462681862</v>
      </c>
      <c r="K15" s="32">
        <f t="shared" si="6"/>
        <v>915222.11956562323</v>
      </c>
      <c r="L15" s="32">
        <f t="shared" si="6"/>
        <v>942678.7831525919</v>
      </c>
      <c r="M15" s="32">
        <f t="shared" si="6"/>
        <v>970959.14664716972</v>
      </c>
      <c r="N15" s="32">
        <f t="shared" si="6"/>
        <v>1000087.9210465848</v>
      </c>
      <c r="O15" s="32">
        <f t="shared" si="6"/>
        <v>1030090.5586779824</v>
      </c>
      <c r="P15" s="32">
        <f t="shared" si="6"/>
        <v>1060993.275438322</v>
      </c>
      <c r="Q15" s="32">
        <f t="shared" si="6"/>
        <v>1092823.0737014718</v>
      </c>
      <c r="R15" s="32">
        <f t="shared" si="6"/>
        <v>1125607.765912516</v>
      </c>
      <c r="S15" s="32">
        <f t="shared" si="6"/>
        <v>1159375.9988898917</v>
      </c>
      <c r="T15" s="32">
        <f t="shared" si="6"/>
        <v>1194157.2788565885</v>
      </c>
      <c r="U15" s="32">
        <f t="shared" si="6"/>
        <v>1229981.9972222862</v>
      </c>
      <c r="V15" s="32">
        <f t="shared" si="6"/>
        <v>1266881.4571389549</v>
      </c>
      <c r="W15" s="32">
        <f t="shared" si="6"/>
        <v>1304887.9008531235</v>
      </c>
      <c r="X15" s="32">
        <f t="shared" si="6"/>
        <v>1344034.5378787173</v>
      </c>
      <c r="Y15" s="32">
        <f t="shared" si="6"/>
        <v>1384355.5740150788</v>
      </c>
      <c r="Z15" s="32">
        <f t="shared" si="6"/>
        <v>1425886.2412355312</v>
      </c>
      <c r="AA15" s="32">
        <f t="shared" si="6"/>
        <v>1468662.8284725971</v>
      </c>
      <c r="AB15" s="32">
        <f t="shared" si="6"/>
        <v>1512722.713326775</v>
      </c>
      <c r="AC15" s="32">
        <f t="shared" si="6"/>
        <v>1558104.3947265784</v>
      </c>
      <c r="AD15" s="32">
        <f t="shared" si="6"/>
        <v>1604847.5265683758</v>
      </c>
      <c r="AE15" s="32">
        <f t="shared" si="6"/>
        <v>1652992.952365427</v>
      </c>
      <c r="AF15" s="32">
        <f t="shared" si="6"/>
        <v>1702582.7409363899</v>
      </c>
      <c r="AG15" s="32">
        <f t="shared" si="6"/>
        <v>1753660.2231644816</v>
      </c>
      <c r="AH15" s="32">
        <f t="shared" si="6"/>
        <v>1806270.0298594162</v>
      </c>
      <c r="AI15" s="32">
        <f t="shared" si="6"/>
        <v>1860458.1307551987</v>
      </c>
    </row>
    <row r="16" spans="1:35">
      <c r="A16" s="566" t="str">
        <f>'Debt Sizing'!A23</f>
        <v>Management Fee</v>
      </c>
      <c r="B16" s="568">
        <f>B8</f>
        <v>0.02</v>
      </c>
      <c r="F16" s="32">
        <f>'Debt Sizing'!G23</f>
        <v>132354.80712000001</v>
      </c>
      <c r="G16" s="32">
        <f t="shared" ref="G16:AI16" si="7">F16*(1+$B16)</f>
        <v>135001.90326240001</v>
      </c>
      <c r="H16" s="32">
        <f t="shared" si="7"/>
        <v>137701.941327648</v>
      </c>
      <c r="I16" s="32">
        <f t="shared" si="7"/>
        <v>140455.98015420098</v>
      </c>
      <c r="J16" s="32">
        <f t="shared" si="7"/>
        <v>143265.099757285</v>
      </c>
      <c r="K16" s="32">
        <f t="shared" si="7"/>
        <v>146130.40175243071</v>
      </c>
      <c r="L16" s="32">
        <f t="shared" si="7"/>
        <v>149053.00978747933</v>
      </c>
      <c r="M16" s="32">
        <f t="shared" si="7"/>
        <v>152034.06998322892</v>
      </c>
      <c r="N16" s="32">
        <f t="shared" si="7"/>
        <v>155074.7513828935</v>
      </c>
      <c r="O16" s="32">
        <f t="shared" si="7"/>
        <v>158176.24641055136</v>
      </c>
      <c r="P16" s="32">
        <f t="shared" si="7"/>
        <v>161339.7713387624</v>
      </c>
      <c r="Q16" s="32">
        <f t="shared" si="7"/>
        <v>164566.56676553766</v>
      </c>
      <c r="R16" s="32">
        <f t="shared" si="7"/>
        <v>167857.89810084843</v>
      </c>
      <c r="S16" s="32">
        <f t="shared" si="7"/>
        <v>171215.05606286539</v>
      </c>
      <c r="T16" s="32">
        <f t="shared" si="7"/>
        <v>174639.35718412269</v>
      </c>
      <c r="U16" s="32">
        <f t="shared" si="7"/>
        <v>178132.14432780514</v>
      </c>
      <c r="V16" s="32">
        <f t="shared" si="7"/>
        <v>181694.78721436125</v>
      </c>
      <c r="W16" s="32">
        <f t="shared" si="7"/>
        <v>185328.68295864848</v>
      </c>
      <c r="X16" s="32">
        <f t="shared" si="7"/>
        <v>189035.25661782146</v>
      </c>
      <c r="Y16" s="32">
        <f t="shared" si="7"/>
        <v>192815.9617501779</v>
      </c>
      <c r="Z16" s="32">
        <f t="shared" si="7"/>
        <v>196672.28098518145</v>
      </c>
      <c r="AA16" s="32">
        <f t="shared" si="7"/>
        <v>200605.72660488507</v>
      </c>
      <c r="AB16" s="32">
        <f t="shared" si="7"/>
        <v>204617.84113698278</v>
      </c>
      <c r="AC16" s="32">
        <f t="shared" si="7"/>
        <v>208710.19795972243</v>
      </c>
      <c r="AD16" s="32">
        <f t="shared" si="7"/>
        <v>212884.40191891688</v>
      </c>
      <c r="AE16" s="32">
        <f t="shared" si="7"/>
        <v>217142.08995729522</v>
      </c>
      <c r="AF16" s="32">
        <f t="shared" si="7"/>
        <v>221484.93175644113</v>
      </c>
      <c r="AG16" s="32">
        <f t="shared" si="7"/>
        <v>225914.63039156995</v>
      </c>
      <c r="AH16" s="32">
        <f t="shared" si="7"/>
        <v>230432.92299940134</v>
      </c>
      <c r="AI16" s="32">
        <f t="shared" si="7"/>
        <v>235041.58145938939</v>
      </c>
    </row>
    <row r="17" spans="1:35">
      <c r="A17" s="566" t="str">
        <f>'Debt Sizing'!A24</f>
        <v>Maintenance</v>
      </c>
      <c r="B17" s="412">
        <v>0.03</v>
      </c>
      <c r="F17" s="32">
        <f>'Debt Sizing'!G24</f>
        <v>185002.16</v>
      </c>
      <c r="G17" s="32">
        <f t="shared" ref="G17:AI17" si="8">F17*(1+$B17)</f>
        <v>190552.2248</v>
      </c>
      <c r="H17" s="32">
        <f t="shared" si="8"/>
        <v>196268.79154400001</v>
      </c>
      <c r="I17" s="32">
        <f t="shared" si="8"/>
        <v>202156.85529032</v>
      </c>
      <c r="J17" s="32">
        <f t="shared" si="8"/>
        <v>208221.5609490296</v>
      </c>
      <c r="K17" s="32">
        <f t="shared" si="8"/>
        <v>214468.2077775005</v>
      </c>
      <c r="L17" s="32">
        <f t="shared" si="8"/>
        <v>220902.25401082553</v>
      </c>
      <c r="M17" s="32">
        <f t="shared" si="8"/>
        <v>227529.32163115032</v>
      </c>
      <c r="N17" s="32">
        <f t="shared" si="8"/>
        <v>234355.20128008485</v>
      </c>
      <c r="O17" s="32">
        <f t="shared" si="8"/>
        <v>241385.8573184874</v>
      </c>
      <c r="P17" s="32">
        <f t="shared" si="8"/>
        <v>248627.43303804201</v>
      </c>
      <c r="Q17" s="32">
        <f t="shared" si="8"/>
        <v>256086.25602918328</v>
      </c>
      <c r="R17" s="32">
        <f t="shared" si="8"/>
        <v>263768.84371005878</v>
      </c>
      <c r="S17" s="32">
        <f t="shared" si="8"/>
        <v>271681.90902136057</v>
      </c>
      <c r="T17" s="32">
        <f t="shared" si="8"/>
        <v>279832.36629200139</v>
      </c>
      <c r="U17" s="32">
        <f t="shared" si="8"/>
        <v>288227.33728076145</v>
      </c>
      <c r="V17" s="32">
        <f t="shared" si="8"/>
        <v>296874.1573991843</v>
      </c>
      <c r="W17" s="32">
        <f t="shared" si="8"/>
        <v>305780.38212115981</v>
      </c>
      <c r="X17" s="32">
        <f t="shared" si="8"/>
        <v>314953.79358479462</v>
      </c>
      <c r="Y17" s="32">
        <f t="shared" si="8"/>
        <v>324402.40739233844</v>
      </c>
      <c r="Z17" s="32">
        <f t="shared" si="8"/>
        <v>334134.47961410863</v>
      </c>
      <c r="AA17" s="32">
        <f t="shared" si="8"/>
        <v>344158.51400253188</v>
      </c>
      <c r="AB17" s="32">
        <f t="shared" si="8"/>
        <v>354483.26942260785</v>
      </c>
      <c r="AC17" s="32">
        <f t="shared" si="8"/>
        <v>365117.76750528609</v>
      </c>
      <c r="AD17" s="32">
        <f t="shared" si="8"/>
        <v>376071.30053044466</v>
      </c>
      <c r="AE17" s="32">
        <f t="shared" si="8"/>
        <v>387353.43954635801</v>
      </c>
      <c r="AF17" s="32">
        <f t="shared" si="8"/>
        <v>398974.04273274879</v>
      </c>
      <c r="AG17" s="32">
        <f t="shared" si="8"/>
        <v>410943.26401473128</v>
      </c>
      <c r="AH17" s="32">
        <f t="shared" si="8"/>
        <v>423271.56193517323</v>
      </c>
      <c r="AI17" s="32">
        <f t="shared" si="8"/>
        <v>435969.70879322843</v>
      </c>
    </row>
    <row r="18" spans="1:35">
      <c r="A18" s="566" t="str">
        <f>'Debt Sizing'!A25</f>
        <v>Building Reserve</v>
      </c>
      <c r="B18" s="412">
        <v>0.03</v>
      </c>
      <c r="F18" s="32">
        <f>'Debt Sizing'!G25</f>
        <v>57800</v>
      </c>
      <c r="G18" s="32">
        <f t="shared" ref="G18:AI18" si="9">F18*(1+$B18)</f>
        <v>59534</v>
      </c>
      <c r="H18" s="32">
        <f t="shared" si="9"/>
        <v>61320.020000000004</v>
      </c>
      <c r="I18" s="32">
        <f t="shared" si="9"/>
        <v>63159.620600000009</v>
      </c>
      <c r="J18" s="32">
        <f t="shared" si="9"/>
        <v>65054.409218000008</v>
      </c>
      <c r="K18" s="32">
        <f t="shared" si="9"/>
        <v>67006.041494540012</v>
      </c>
      <c r="L18" s="32">
        <f t="shared" si="9"/>
        <v>69016.222739376215</v>
      </c>
      <c r="M18" s="32">
        <f t="shared" si="9"/>
        <v>71086.709421557505</v>
      </c>
      <c r="N18" s="32">
        <f t="shared" si="9"/>
        <v>73219.310704204239</v>
      </c>
      <c r="O18" s="32">
        <f t="shared" si="9"/>
        <v>75415.890025330373</v>
      </c>
      <c r="P18" s="32">
        <f t="shared" si="9"/>
        <v>77678.366726090288</v>
      </c>
      <c r="Q18" s="32">
        <f t="shared" si="9"/>
        <v>80008.717727872994</v>
      </c>
      <c r="R18" s="32">
        <f t="shared" si="9"/>
        <v>82408.979259709187</v>
      </c>
      <c r="S18" s="32">
        <f t="shared" si="9"/>
        <v>84881.248637500466</v>
      </c>
      <c r="T18" s="32">
        <f t="shared" si="9"/>
        <v>87427.68609662549</v>
      </c>
      <c r="U18" s="32">
        <f t="shared" si="9"/>
        <v>90050.516679524255</v>
      </c>
      <c r="V18" s="32">
        <f t="shared" si="9"/>
        <v>92752.032179909991</v>
      </c>
      <c r="W18" s="32">
        <f t="shared" si="9"/>
        <v>95534.593145307299</v>
      </c>
      <c r="X18" s="32">
        <f t="shared" si="9"/>
        <v>98400.630939666516</v>
      </c>
      <c r="Y18" s="32">
        <f t="shared" si="9"/>
        <v>101352.64986785651</v>
      </c>
      <c r="Z18" s="32">
        <f t="shared" si="9"/>
        <v>104393.22936389221</v>
      </c>
      <c r="AA18" s="32">
        <f t="shared" si="9"/>
        <v>107525.02624480898</v>
      </c>
      <c r="AB18" s="32">
        <f t="shared" si="9"/>
        <v>110750.77703215324</v>
      </c>
      <c r="AC18" s="32">
        <f t="shared" si="9"/>
        <v>114073.30034311785</v>
      </c>
      <c r="AD18" s="32">
        <f t="shared" si="9"/>
        <v>117495.49935341139</v>
      </c>
      <c r="AE18" s="32">
        <f t="shared" si="9"/>
        <v>121020.36433401374</v>
      </c>
      <c r="AF18" s="32">
        <f t="shared" si="9"/>
        <v>124650.97526403415</v>
      </c>
      <c r="AG18" s="32">
        <f t="shared" si="9"/>
        <v>128390.50452195517</v>
      </c>
      <c r="AH18" s="32">
        <f t="shared" si="9"/>
        <v>132242.21965761384</v>
      </c>
      <c r="AI18" s="32">
        <f t="shared" si="9"/>
        <v>136209.48624734225</v>
      </c>
    </row>
    <row r="19" spans="1:35">
      <c r="A19" s="566" t="str">
        <f>'Debt Sizing'!A26</f>
        <v>Real Estate Tax</v>
      </c>
      <c r="B19" s="412">
        <v>0.03</v>
      </c>
      <c r="F19" s="32">
        <f>'Debt Sizing'!G26</f>
        <v>0</v>
      </c>
      <c r="G19" s="32">
        <f t="shared" ref="G19:AI19" si="10">F19*(1+$B19)</f>
        <v>0</v>
      </c>
      <c r="H19" s="32">
        <f t="shared" si="10"/>
        <v>0</v>
      </c>
      <c r="I19" s="32">
        <f t="shared" si="10"/>
        <v>0</v>
      </c>
      <c r="J19" s="32">
        <f t="shared" si="10"/>
        <v>0</v>
      </c>
      <c r="K19" s="32">
        <f t="shared" si="10"/>
        <v>0</v>
      </c>
      <c r="L19" s="32">
        <f t="shared" si="10"/>
        <v>0</v>
      </c>
      <c r="M19" s="32">
        <f t="shared" si="10"/>
        <v>0</v>
      </c>
      <c r="N19" s="32">
        <f t="shared" si="10"/>
        <v>0</v>
      </c>
      <c r="O19" s="32">
        <f t="shared" si="10"/>
        <v>0</v>
      </c>
      <c r="P19" s="32">
        <f t="shared" si="10"/>
        <v>0</v>
      </c>
      <c r="Q19" s="32">
        <f t="shared" si="10"/>
        <v>0</v>
      </c>
      <c r="R19" s="32">
        <f t="shared" si="10"/>
        <v>0</v>
      </c>
      <c r="S19" s="32">
        <f t="shared" si="10"/>
        <v>0</v>
      </c>
      <c r="T19" s="32">
        <f t="shared" si="10"/>
        <v>0</v>
      </c>
      <c r="U19" s="32">
        <f t="shared" si="10"/>
        <v>0</v>
      </c>
      <c r="V19" s="32">
        <f t="shared" si="10"/>
        <v>0</v>
      </c>
      <c r="W19" s="32">
        <f t="shared" si="10"/>
        <v>0</v>
      </c>
      <c r="X19" s="32">
        <f t="shared" si="10"/>
        <v>0</v>
      </c>
      <c r="Y19" s="32">
        <f t="shared" si="10"/>
        <v>0</v>
      </c>
      <c r="Z19" s="32">
        <f t="shared" si="10"/>
        <v>0</v>
      </c>
      <c r="AA19" s="32">
        <f t="shared" si="10"/>
        <v>0</v>
      </c>
      <c r="AB19" s="32">
        <f t="shared" si="10"/>
        <v>0</v>
      </c>
      <c r="AC19" s="32">
        <f t="shared" si="10"/>
        <v>0</v>
      </c>
      <c r="AD19" s="32">
        <f t="shared" si="10"/>
        <v>0</v>
      </c>
      <c r="AE19" s="32">
        <f t="shared" si="10"/>
        <v>0</v>
      </c>
      <c r="AF19" s="32">
        <f t="shared" si="10"/>
        <v>0</v>
      </c>
      <c r="AG19" s="32">
        <f t="shared" si="10"/>
        <v>0</v>
      </c>
      <c r="AH19" s="32">
        <f t="shared" si="10"/>
        <v>0</v>
      </c>
      <c r="AI19" s="32">
        <f t="shared" si="10"/>
        <v>0</v>
      </c>
    </row>
    <row r="20" spans="1:35" s="6" customFormat="1">
      <c r="A20" s="386" t="s">
        <v>109</v>
      </c>
      <c r="B20" s="451"/>
      <c r="C20" s="387"/>
      <c r="D20" s="392"/>
      <c r="E20" s="392"/>
      <c r="F20" s="275">
        <f t="shared" ref="F20:AI20" si="11">SUM(F13:F19)</f>
        <v>1694068.10919358</v>
      </c>
      <c r="G20" s="275">
        <f t="shared" si="11"/>
        <v>1743566.6043981875</v>
      </c>
      <c r="H20" s="275">
        <f t="shared" si="11"/>
        <v>1794523.5834975091</v>
      </c>
      <c r="I20" s="275">
        <f t="shared" si="11"/>
        <v>1846982.2715891579</v>
      </c>
      <c r="J20" s="275">
        <f t="shared" si="11"/>
        <v>1900987.1799352909</v>
      </c>
      <c r="K20" s="275">
        <f t="shared" si="11"/>
        <v>1956584.1443357766</v>
      </c>
      <c r="L20" s="275">
        <f t="shared" si="11"/>
        <v>2013820.3646483258</v>
      </c>
      <c r="M20" s="275">
        <f t="shared" si="11"/>
        <v>2072744.4454899009</v>
      </c>
      <c r="N20" s="275">
        <f t="shared" si="11"/>
        <v>2133406.4381547654</v>
      </c>
      <c r="O20" s="275">
        <f t="shared" si="11"/>
        <v>2195857.8837855798</v>
      </c>
      <c r="P20" s="275">
        <f t="shared" si="11"/>
        <v>2260151.8578350418</v>
      </c>
      <c r="Q20" s="275">
        <f t="shared" si="11"/>
        <v>2326343.0158567056</v>
      </c>
      <c r="R20" s="275">
        <f t="shared" si="11"/>
        <v>2394487.6406647516</v>
      </c>
      <c r="S20" s="275">
        <f t="shared" si="11"/>
        <v>2464643.6909036865</v>
      </c>
      <c r="T20" s="275">
        <f t="shared" si="11"/>
        <v>2536870.8510701675</v>
      </c>
      <c r="U20" s="275">
        <f t="shared" si="11"/>
        <v>2611230.5830304315</v>
      </c>
      <c r="V20" s="275">
        <f t="shared" si="11"/>
        <v>2687786.1790780658</v>
      </c>
      <c r="W20" s="275">
        <f t="shared" si="11"/>
        <v>2766602.8165782648</v>
      </c>
      <c r="X20" s="275">
        <f t="shared" si="11"/>
        <v>2847747.6142460266</v>
      </c>
      <c r="Y20" s="275">
        <f t="shared" si="11"/>
        <v>2931289.6901072292</v>
      </c>
      <c r="Z20" s="275">
        <f t="shared" si="11"/>
        <v>3017300.2211929448</v>
      </c>
      <c r="AA20" s="275">
        <f t="shared" si="11"/>
        <v>3105852.5050188806</v>
      </c>
      <c r="AB20" s="275">
        <f t="shared" si="11"/>
        <v>3197022.0229033986</v>
      </c>
      <c r="AC20" s="275">
        <f t="shared" si="11"/>
        <v>3290886.5051791309</v>
      </c>
      <c r="AD20" s="275">
        <f t="shared" si="11"/>
        <v>3387525.9983549081</v>
      </c>
      <c r="AE20" s="275">
        <f t="shared" si="11"/>
        <v>3487022.9342863658</v>
      </c>
      <c r="AF20" s="275">
        <f t="shared" si="11"/>
        <v>3589462.2014153833</v>
      </c>
      <c r="AG20" s="275">
        <f t="shared" si="11"/>
        <v>3694931.2181402808</v>
      </c>
      <c r="AH20" s="275">
        <f t="shared" si="11"/>
        <v>3803520.0083805742</v>
      </c>
      <c r="AI20" s="275">
        <f t="shared" si="11"/>
        <v>3915321.2794019971</v>
      </c>
    </row>
    <row r="21" spans="1:35">
      <c r="A21" s="378"/>
      <c r="B21" s="389"/>
      <c r="C21" s="379"/>
      <c r="D21" s="393"/>
      <c r="E21" s="393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>
      <c r="A22" s="1108" t="s">
        <v>626</v>
      </c>
      <c r="B22" s="389"/>
      <c r="C22" s="379"/>
      <c r="D22" s="393"/>
      <c r="E22" s="393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>
      <c r="A23" s="378" t="s">
        <v>627</v>
      </c>
      <c r="B23" s="389"/>
      <c r="C23" s="379"/>
      <c r="D23" s="393"/>
      <c r="E23" s="393"/>
      <c r="F23" s="32">
        <v>50000</v>
      </c>
      <c r="G23" s="32">
        <f>F23</f>
        <v>50000</v>
      </c>
      <c r="H23" s="32">
        <f t="shared" ref="H23:O23" si="12">G23</f>
        <v>50000</v>
      </c>
      <c r="I23" s="32">
        <f t="shared" si="12"/>
        <v>50000</v>
      </c>
      <c r="J23" s="32">
        <f t="shared" si="12"/>
        <v>50000</v>
      </c>
      <c r="K23" s="32">
        <f t="shared" si="12"/>
        <v>50000</v>
      </c>
      <c r="L23" s="32">
        <f t="shared" si="12"/>
        <v>50000</v>
      </c>
      <c r="M23" s="32">
        <f t="shared" si="12"/>
        <v>50000</v>
      </c>
      <c r="N23" s="32">
        <f t="shared" si="12"/>
        <v>50000</v>
      </c>
      <c r="O23" s="32">
        <f t="shared" si="12"/>
        <v>50000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</row>
    <row r="24" spans="1:35" ht="16.5" customHeight="1">
      <c r="A24" s="378" t="s">
        <v>409</v>
      </c>
      <c r="B24" s="412">
        <v>0.03</v>
      </c>
      <c r="C24" s="736"/>
      <c r="D24" s="33"/>
      <c r="E24" s="33"/>
      <c r="F24" s="32">
        <v>10000</v>
      </c>
      <c r="G24" s="32">
        <f t="shared" ref="G24:Y24" ca="1" si="13">MIN(F24*(1+$B24), G37*50%)</f>
        <v>10300</v>
      </c>
      <c r="H24" s="32">
        <f t="shared" ca="1" si="13"/>
        <v>10609</v>
      </c>
      <c r="I24" s="32">
        <f t="shared" ca="1" si="13"/>
        <v>10927.27</v>
      </c>
      <c r="J24" s="32">
        <f t="shared" ca="1" si="13"/>
        <v>11255.088100000001</v>
      </c>
      <c r="K24" s="32">
        <f t="shared" ca="1" si="13"/>
        <v>11592.740743</v>
      </c>
      <c r="L24" s="32">
        <f t="shared" ca="1" si="13"/>
        <v>11940.52296529</v>
      </c>
      <c r="M24" s="32">
        <f t="shared" ca="1" si="13"/>
        <v>12298.7386542487</v>
      </c>
      <c r="N24" s="32">
        <f t="shared" ca="1" si="13"/>
        <v>12667.700813876161</v>
      </c>
      <c r="O24" s="32">
        <f t="shared" ca="1" si="13"/>
        <v>13047.731838292446</v>
      </c>
      <c r="P24" s="32">
        <f t="shared" ca="1" si="13"/>
        <v>13439.163793441219</v>
      </c>
      <c r="Q24" s="32">
        <f t="shared" ca="1" si="13"/>
        <v>13842.338707244457</v>
      </c>
      <c r="R24" s="32">
        <f t="shared" ca="1" si="13"/>
        <v>14257.60886846179</v>
      </c>
      <c r="S24" s="32">
        <f t="shared" ca="1" si="13"/>
        <v>14685.337134515645</v>
      </c>
      <c r="T24" s="32">
        <f t="shared" ca="1" si="13"/>
        <v>15125.897248551115</v>
      </c>
      <c r="U24" s="32">
        <f t="shared" ca="1" si="13"/>
        <v>13808.162810067588</v>
      </c>
      <c r="V24" s="32">
        <f t="shared" ca="1" si="13"/>
        <v>14222.407694369613</v>
      </c>
      <c r="W24" s="32">
        <f t="shared" ca="1" si="13"/>
        <v>14649.079925200702</v>
      </c>
      <c r="X24" s="32">
        <f t="shared" ca="1" si="13"/>
        <v>15088.552322956704</v>
      </c>
      <c r="Y24" s="32">
        <f t="shared" ca="1" si="13"/>
        <v>15541.208892645405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>
      <c r="A25" s="378" t="s">
        <v>410</v>
      </c>
      <c r="B25" s="412">
        <v>0.03</v>
      </c>
      <c r="C25" s="736"/>
      <c r="D25" s="33"/>
      <c r="E25" s="33"/>
      <c r="F25" s="32">
        <v>10000</v>
      </c>
      <c r="G25" s="32">
        <f t="shared" ref="G25:Y25" ca="1" si="14">MIN(F25*(1+$B25), G37*50%)</f>
        <v>10300</v>
      </c>
      <c r="H25" s="32">
        <f t="shared" ca="1" si="14"/>
        <v>10609</v>
      </c>
      <c r="I25" s="32">
        <f t="shared" ca="1" si="14"/>
        <v>10927.27</v>
      </c>
      <c r="J25" s="32">
        <f t="shared" ca="1" si="14"/>
        <v>11255.088100000001</v>
      </c>
      <c r="K25" s="32">
        <f t="shared" ca="1" si="14"/>
        <v>11592.740743</v>
      </c>
      <c r="L25" s="32">
        <f t="shared" ca="1" si="14"/>
        <v>11940.52296529</v>
      </c>
      <c r="M25" s="32">
        <f t="shared" ca="1" si="14"/>
        <v>12298.7386542487</v>
      </c>
      <c r="N25" s="32">
        <f t="shared" ca="1" si="14"/>
        <v>12667.700813876161</v>
      </c>
      <c r="O25" s="32">
        <f t="shared" ca="1" si="14"/>
        <v>13047.731838292446</v>
      </c>
      <c r="P25" s="32">
        <f t="shared" ca="1" si="14"/>
        <v>13439.163793441219</v>
      </c>
      <c r="Q25" s="32">
        <f t="shared" ca="1" si="14"/>
        <v>13842.338707244457</v>
      </c>
      <c r="R25" s="32">
        <f t="shared" ca="1" si="14"/>
        <v>14257.60886846179</v>
      </c>
      <c r="S25" s="32">
        <f t="shared" ca="1" si="14"/>
        <v>14685.337134515645</v>
      </c>
      <c r="T25" s="32">
        <f t="shared" ca="1" si="14"/>
        <v>15125.897248551115</v>
      </c>
      <c r="U25" s="32">
        <f t="shared" ca="1" si="14"/>
        <v>13808.162810067588</v>
      </c>
      <c r="V25" s="32">
        <f t="shared" ca="1" si="14"/>
        <v>14222.407694369613</v>
      </c>
      <c r="W25" s="32">
        <f t="shared" ca="1" si="14"/>
        <v>14649.079925200702</v>
      </c>
      <c r="X25" s="32">
        <f t="shared" ca="1" si="14"/>
        <v>15088.552322956704</v>
      </c>
      <c r="Y25" s="32">
        <f t="shared" ca="1" si="14"/>
        <v>15541.208892645405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>
      <c r="A26" s="378"/>
      <c r="B26" s="389"/>
      <c r="C26" s="379"/>
      <c r="D26" s="393"/>
      <c r="E26" s="393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</row>
    <row r="27" spans="1:35" s="6" customFormat="1">
      <c r="A27" s="376" t="s">
        <v>61</v>
      </c>
      <c r="B27" s="452"/>
      <c r="C27" s="380"/>
      <c r="D27" s="395"/>
      <c r="E27" s="395"/>
      <c r="F27" s="33">
        <f>F10-F20-F23-F24-F25</f>
        <v>441845.34280642006</v>
      </c>
      <c r="G27" s="33">
        <f t="shared" ref="G27:AI27" ca="1" si="15">G10-G20-G23-G24-G25</f>
        <v>435865.11664181272</v>
      </c>
      <c r="H27" s="33">
        <f t="shared" ca="1" si="15"/>
        <v>429290.7719632911</v>
      </c>
      <c r="I27" s="33">
        <f t="shared" ca="1" si="15"/>
        <v>422096.1909808584</v>
      </c>
      <c r="J27" s="33">
        <f t="shared" ca="1" si="15"/>
        <v>414254.30648612569</v>
      </c>
      <c r="K27" s="33">
        <f t="shared" ca="1" si="15"/>
        <v>405737.07005206833</v>
      </c>
      <c r="L27" s="33">
        <f t="shared" ca="1" si="15"/>
        <v>396515.41921241605</v>
      </c>
      <c r="M27" s="33">
        <f t="shared" ca="1" si="15"/>
        <v>386559.2435887499</v>
      </c>
      <c r="N27" s="33">
        <f t="shared" ca="1" si="15"/>
        <v>375837.34993237362</v>
      </c>
      <c r="O27" s="33">
        <f t="shared" ca="1" si="15"/>
        <v>364317.42604702432</v>
      </c>
      <c r="P27" s="33">
        <f t="shared" ca="1" si="15"/>
        <v>401966.00355744862</v>
      </c>
      <c r="Q27" s="33">
        <f t="shared" ca="1" si="15"/>
        <v>388748.41948776611</v>
      </c>
      <c r="R27" s="33">
        <f t="shared" ca="1" si="15"/>
        <v>374628.7766124648</v>
      </c>
      <c r="S27" s="33">
        <f t="shared" ca="1" si="15"/>
        <v>359569.90254170541</v>
      </c>
      <c r="T27" s="33">
        <f t="shared" ca="1" si="15"/>
        <v>343533.30750144203</v>
      </c>
      <c r="U27" s="33">
        <f t="shared" ca="1" si="15"/>
        <v>330022.16347951919</v>
      </c>
      <c r="V27" s="33">
        <f t="shared" ca="1" si="15"/>
        <v>312015.45910588268</v>
      </c>
      <c r="W27" s="33">
        <f t="shared" ca="1" si="15"/>
        <v>292910.40621547529</v>
      </c>
      <c r="X27" s="33">
        <f t="shared" ca="1" si="15"/>
        <v>272662.89140508417</v>
      </c>
      <c r="Y27" s="33">
        <f t="shared" ca="1" si="15"/>
        <v>251227.25461044468</v>
      </c>
      <c r="Z27" s="33">
        <f t="shared" si="15"/>
        <v>260571.12856007926</v>
      </c>
      <c r="AA27" s="33">
        <f t="shared" si="15"/>
        <v>237576.27172920387</v>
      </c>
      <c r="AB27" s="33">
        <f t="shared" si="15"/>
        <v>213275.3293796475</v>
      </c>
      <c r="AC27" s="33">
        <f t="shared" si="15"/>
        <v>187616.79414957622</v>
      </c>
      <c r="AD27" s="33">
        <f t="shared" si="15"/>
        <v>160547.36696037324</v>
      </c>
      <c r="AE27" s="33">
        <f t="shared" si="15"/>
        <v>132011.89833522122</v>
      </c>
      <c r="AF27" s="33">
        <f t="shared" si="15"/>
        <v>101953.32785863569</v>
      </c>
      <c r="AG27" s="33">
        <f t="shared" si="15"/>
        <v>70312.621719218791</v>
      </c>
      <c r="AH27" s="33">
        <f t="shared" si="15"/>
        <v>37028.708276115358</v>
      </c>
      <c r="AI27" s="33">
        <f t="shared" si="15"/>
        <v>2038.411587826442</v>
      </c>
    </row>
    <row r="28" spans="1:35" s="6" customFormat="1">
      <c r="A28" s="376"/>
      <c r="B28" s="452"/>
      <c r="C28" s="380"/>
      <c r="D28" s="394"/>
      <c r="E28" s="394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s="6" customFormat="1">
      <c r="A29" s="376" t="s">
        <v>184</v>
      </c>
      <c r="B29" s="452"/>
      <c r="C29" s="380"/>
      <c r="D29" s="394"/>
      <c r="E29" s="394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s="6" customFormat="1">
      <c r="A30" s="273" t="s">
        <v>185</v>
      </c>
      <c r="B30" s="453"/>
      <c r="C30" s="380"/>
      <c r="D30" s="395"/>
      <c r="E30" s="395"/>
      <c r="F30" s="32">
        <f>SUMIF('Mortgage - Monthly'!$A$7:$A$486,F7,'Mortgage - Monthly'!$D$7:$D$486)</f>
        <v>234666.84766981937</v>
      </c>
      <c r="G30" s="32">
        <f>SUMIF('Mortgage - Monthly'!$A$7:$A$486,G7,'Mortgage - Monthly'!$D$7:$D$486)</f>
        <v>231100.29996306836</v>
      </c>
      <c r="H30" s="32">
        <f>SUMIF('Mortgage - Monthly'!$A$7:$A$486,H7,'Mortgage - Monthly'!$D$7:$D$486)</f>
        <v>227351.2809067542</v>
      </c>
      <c r="I30" s="32">
        <f>SUMIF('Mortgage - Monthly'!$A$7:$A$486,I7,'Mortgage - Monthly'!$D$7:$D$486)</f>
        <v>223410.45492032409</v>
      </c>
      <c r="J30" s="32">
        <f>SUMIF('Mortgage - Monthly'!$A$7:$A$486,J7,'Mortgage - Monthly'!$D$7:$D$486)</f>
        <v>219268.00879720671</v>
      </c>
      <c r="K30" s="32">
        <f>SUMIF('Mortgage - Monthly'!$A$7:$A$486,K7,'Mortgage - Monthly'!$D$7:$D$486)</f>
        <v>214913.6272685577</v>
      </c>
      <c r="L30" s="32">
        <f>SUMIF('Mortgage - Monthly'!$A$7:$A$486,L7,'Mortgage - Monthly'!$D$7:$D$486)</f>
        <v>210336.46731680183</v>
      </c>
      <c r="M30" s="32">
        <f>SUMIF('Mortgage - Monthly'!$A$7:$A$486,M7,'Mortgage - Monthly'!$D$7:$D$486)</f>
        <v>205525.13117500592</v>
      </c>
      <c r="N30" s="32">
        <f>SUMIF('Mortgage - Monthly'!$A$7:$A$486,N7,'Mortgage - Monthly'!$D$7:$D$486)</f>
        <v>200467.63794484874</v>
      </c>
      <c r="O30" s="32">
        <f>SUMIF('Mortgage - Monthly'!$A$7:$A$486,O7,'Mortgage - Monthly'!$D$7:$D$486)</f>
        <v>195151.39376251271</v>
      </c>
      <c r="P30" s="32">
        <f>SUMIF('Mortgage - Monthly'!$A$7:$A$486,P7,'Mortgage - Monthly'!$D$7:$D$486)</f>
        <v>189563.16043820567</v>
      </c>
      <c r="Q30" s="32">
        <f>SUMIF('Mortgage - Monthly'!$A$7:$A$486,Q7,'Mortgage - Monthly'!$D$7:$D$486)</f>
        <v>183689.02249122114</v>
      </c>
      <c r="R30" s="32">
        <f>SUMIF('Mortgage - Monthly'!$A$7:$A$486,R7,'Mortgage - Monthly'!$D$7:$D$486)</f>
        <v>177514.35249844973</v>
      </c>
      <c r="S30" s="32">
        <f>SUMIF('Mortgage - Monthly'!$A$7:$A$486,S7,'Mortgage - Monthly'!$D$7:$D$486)</f>
        <v>171023.77467005473</v>
      </c>
      <c r="T30" s="32">
        <f>SUMIF('Mortgage - Monthly'!$A$7:$A$486,T7,'Mortgage - Monthly'!$D$7:$D$486)</f>
        <v>164201.12656161</v>
      </c>
      <c r="U30" s="32">
        <f>SUMIF('Mortgage - Monthly'!$A$7:$A$486,U7,'Mortgage - Monthly'!$D$7:$D$486)</f>
        <v>157029.41882735799</v>
      </c>
      <c r="V30" s="32">
        <f>SUMIF('Mortgage - Monthly'!$A$7:$A$486,V7,'Mortgage - Monthly'!$D$7:$D$486)</f>
        <v>149490.79291436856</v>
      </c>
      <c r="W30" s="32">
        <f>SUMIF('Mortgage - Monthly'!$A$7:$A$486,W7,'Mortgage - Monthly'!$D$7:$D$486)</f>
        <v>141566.4765922502</v>
      </c>
      <c r="X30" s="32">
        <f>SUMIF('Mortgage - Monthly'!$A$7:$A$486,X7,'Mortgage - Monthly'!$D$7:$D$486)</f>
        <v>133236.73720767707</v>
      </c>
      <c r="Y30" s="32">
        <f>SUMIF('Mortgage - Monthly'!$A$7:$A$486,Y7,'Mortgage - Monthly'!$D$7:$D$486)</f>
        <v>124480.8325473289</v>
      </c>
      <c r="Z30" s="32">
        <f>SUMIF('Mortgage - Monthly'!$A$7:$A$486,Z7,'Mortgage - Monthly'!$D$7:$D$486)</f>
        <v>115276.95918688586</v>
      </c>
      <c r="AA30" s="32">
        <f>SUMIF('Mortgage - Monthly'!$A$7:$A$486,AA7,'Mortgage - Monthly'!$D$7:$D$486)</f>
        <v>105602.19819745941</v>
      </c>
      <c r="AB30" s="32">
        <f>SUMIF('Mortgage - Monthly'!$A$7:$A$486,AB7,'Mortgage - Monthly'!$D$7:$D$486)</f>
        <v>95432.458074261711</v>
      </c>
      <c r="AC30" s="32">
        <f>SUMIF('Mortgage - Monthly'!$A$7:$A$486,AC7,'Mortgage - Monthly'!$D$7:$D$486)</f>
        <v>84742.41474539724</v>
      </c>
      <c r="AD30" s="32">
        <f>SUMIF('Mortgage - Monthly'!$A$7:$A$486,AD7,'Mortgage - Monthly'!$D$7:$D$486)</f>
        <v>73505.448511390103</v>
      </c>
      <c r="AE30" s="32">
        <f>SUMIF('Mortgage - Monthly'!$A$7:$A$486,AE7,'Mortgage - Monthly'!$D$7:$D$486)</f>
        <v>61693.577758418192</v>
      </c>
      <c r="AF30" s="32">
        <f>SUMIF('Mortgage - Monthly'!$A$7:$A$486,AF7,'Mortgage - Monthly'!$D$7:$D$486)</f>
        <v>49277.389280190517</v>
      </c>
      <c r="AG30" s="32">
        <f>SUMIF('Mortgage - Monthly'!$A$7:$A$486,AG7,'Mortgage - Monthly'!$D$7:$D$486)</f>
        <v>36225.965034959387</v>
      </c>
      <c r="AH30" s="32">
        <f>SUMIF('Mortgage - Monthly'!$A$7:$A$486,AH7,'Mortgage - Monthly'!$D$7:$D$486)</f>
        <v>22506.805155282578</v>
      </c>
      <c r="AI30" s="32">
        <f>SUMIF('Mortgage - Monthly'!$A$7:$A$486,AI7,'Mortgage - Monthly'!$D$7:$D$486)</f>
        <v>8085.7470188185689</v>
      </c>
    </row>
    <row r="31" spans="1:35" s="6" customFormat="1">
      <c r="A31" s="273" t="s">
        <v>186</v>
      </c>
      <c r="B31" s="453"/>
      <c r="C31" s="380"/>
      <c r="D31" s="394"/>
      <c r="E31" s="394"/>
      <c r="F31" s="32">
        <f>SUMIF('Mortgage - Monthly'!$A$7:$A$486,F7,'Mortgage - Monthly'!$E$7:$E$486)</f>
        <v>69711.01257806347</v>
      </c>
      <c r="G31" s="32">
        <f>SUMIF('Mortgage - Monthly'!$A$7:$A$486,G7,'Mortgage - Monthly'!$E$7:$E$486)</f>
        <v>73277.560284814565</v>
      </c>
      <c r="H31" s="32">
        <f>SUMIF('Mortgage - Monthly'!$A$7:$A$486,H7,'Mortgage - Monthly'!$E$7:$E$486)</f>
        <v>77026.579341128701</v>
      </c>
      <c r="I31" s="32">
        <f>SUMIF('Mortgage - Monthly'!$A$7:$A$486,I7,'Mortgage - Monthly'!$E$7:$E$486)</f>
        <v>80967.40532755875</v>
      </c>
      <c r="J31" s="32">
        <f>SUMIF('Mortgage - Monthly'!$A$7:$A$486,J7,'Mortgage - Monthly'!$E$7:$E$486)</f>
        <v>85109.851450676142</v>
      </c>
      <c r="K31" s="32">
        <f>SUMIF('Mortgage - Monthly'!$A$7:$A$486,K7,'Mortgage - Monthly'!$E$7:$E$486)</f>
        <v>89464.232979325185</v>
      </c>
      <c r="L31" s="32">
        <f>SUMIF('Mortgage - Monthly'!$A$7:$A$486,L7,'Mortgage - Monthly'!$E$7:$E$486)</f>
        <v>94041.392931081049</v>
      </c>
      <c r="M31" s="32">
        <f>SUMIF('Mortgage - Monthly'!$A$7:$A$486,M7,'Mortgage - Monthly'!$E$7:$E$486)</f>
        <v>98852.729072876973</v>
      </c>
      <c r="N31" s="32">
        <f>SUMIF('Mortgage - Monthly'!$A$7:$A$486,N7,'Mortgage - Monthly'!$E$7:$E$486)</f>
        <v>103910.22230303414</v>
      </c>
      <c r="O31" s="32">
        <f>SUMIF('Mortgage - Monthly'!$A$7:$A$486,O7,'Mortgage - Monthly'!$E$7:$E$486)</f>
        <v>109226.46648537014</v>
      </c>
      <c r="P31" s="32">
        <f>SUMIF('Mortgage - Monthly'!$A$7:$A$486,P7,'Mortgage - Monthly'!$E$7:$E$486)</f>
        <v>114814.6998096772</v>
      </c>
      <c r="Q31" s="32">
        <f>SUMIF('Mortgage - Monthly'!$A$7:$A$486,Q7,'Mortgage - Monthly'!$E$7:$E$486)</f>
        <v>120688.83775666176</v>
      </c>
      <c r="R31" s="32">
        <f>SUMIF('Mortgage - Monthly'!$A$7:$A$486,R7,'Mortgage - Monthly'!$E$7:$E$486)</f>
        <v>126863.50774943315</v>
      </c>
      <c r="S31" s="32">
        <f>SUMIF('Mortgage - Monthly'!$A$7:$A$486,S7,'Mortgage - Monthly'!$E$7:$E$486)</f>
        <v>133354.08557782814</v>
      </c>
      <c r="T31" s="32">
        <f>SUMIF('Mortgage - Monthly'!$A$7:$A$486,T7,'Mortgage - Monthly'!$E$7:$E$486)</f>
        <v>140176.7336862729</v>
      </c>
      <c r="U31" s="32">
        <f>SUMIF('Mortgage - Monthly'!$A$7:$A$486,U7,'Mortgage - Monthly'!$E$7:$E$486)</f>
        <v>147348.4414205249</v>
      </c>
      <c r="V31" s="32">
        <f>SUMIF('Mortgage - Monthly'!$A$7:$A$486,V7,'Mortgage - Monthly'!$E$7:$E$486)</f>
        <v>154887.06733351431</v>
      </c>
      <c r="W31" s="32">
        <f>SUMIF('Mortgage - Monthly'!$A$7:$A$486,W7,'Mortgage - Monthly'!$E$7:$E$486)</f>
        <v>162811.38365563264</v>
      </c>
      <c r="X31" s="32">
        <f>SUMIF('Mortgage - Monthly'!$A$7:$A$486,X7,'Mortgage - Monthly'!$E$7:$E$486)</f>
        <v>171141.12304020577</v>
      </c>
      <c r="Y31" s="32">
        <f>SUMIF('Mortgage - Monthly'!$A$7:$A$486,Y7,'Mortgage - Monthly'!$E$7:$E$486)</f>
        <v>179897.027700554</v>
      </c>
      <c r="Z31" s="32">
        <f>SUMIF('Mortgage - Monthly'!$A$7:$A$486,Z7,'Mortgage - Monthly'!$E$7:$E$486)</f>
        <v>189100.90106099704</v>
      </c>
      <c r="AA31" s="32">
        <f>SUMIF('Mortgage - Monthly'!$A$7:$A$486,AA7,'Mortgage - Monthly'!$E$7:$E$486)</f>
        <v>198775.66205042345</v>
      </c>
      <c r="AB31" s="32">
        <f>SUMIF('Mortgage - Monthly'!$A$7:$A$486,AB7,'Mortgage - Monthly'!$E$7:$E$486)</f>
        <v>208945.40217362117</v>
      </c>
      <c r="AC31" s="32">
        <f>SUMIF('Mortgage - Monthly'!$A$7:$A$486,AC7,'Mortgage - Monthly'!$E$7:$E$486)</f>
        <v>219635.44550248561</v>
      </c>
      <c r="AD31" s="32">
        <f>SUMIF('Mortgage - Monthly'!$A$7:$A$486,AD7,'Mortgage - Monthly'!$E$7:$E$486)</f>
        <v>230872.4117364928</v>
      </c>
      <c r="AE31" s="32">
        <f>SUMIF('Mortgage - Monthly'!$A$7:$A$486,AE7,'Mortgage - Monthly'!$E$7:$E$486)</f>
        <v>242684.28248946468</v>
      </c>
      <c r="AF31" s="32">
        <f>SUMIF('Mortgage - Monthly'!$A$7:$A$486,AF7,'Mortgage - Monthly'!$E$7:$E$486)</f>
        <v>255100.47096769238</v>
      </c>
      <c r="AG31" s="32">
        <f>SUMIF('Mortgage - Monthly'!$A$7:$A$486,AG7,'Mortgage - Monthly'!$E$7:$E$486)</f>
        <v>268151.89521292347</v>
      </c>
      <c r="AH31" s="32">
        <f>SUMIF('Mortgage - Monthly'!$A$7:$A$486,AH7,'Mortgage - Monthly'!$E$7:$E$486)</f>
        <v>281871.05509260029</v>
      </c>
      <c r="AI31" s="32">
        <f>SUMIF('Mortgage - Monthly'!$A$7:$A$486,AI7,'Mortgage - Monthly'!$E$7:$E$486)</f>
        <v>296292.11322906433</v>
      </c>
    </row>
    <row r="32" spans="1:35" s="6" customFormat="1" hidden="1">
      <c r="A32" s="273" t="s">
        <v>187</v>
      </c>
      <c r="B32" s="453"/>
      <c r="C32" s="380"/>
      <c r="D32" s="394"/>
      <c r="E32" s="394"/>
      <c r="F32" s="32">
        <f>SUMIF('Mortgage - Monthly'!$A$7:$A$486,F7+2,'Mortgage - Monthly'!$H$7:$H$486)</f>
        <v>0</v>
      </c>
      <c r="G32" s="32">
        <f>SUMIF('Mortgage - Monthly'!$A$7:$A$486,G7+2,'Mortgage - Monthly'!$H$7:$H$486)</f>
        <v>0</v>
      </c>
      <c r="H32" s="32">
        <f>SUMIF('Mortgage - Monthly'!$A$7:$A$486,H7+2,'Mortgage - Monthly'!$H$7:$H$486)</f>
        <v>0</v>
      </c>
      <c r="I32" s="32">
        <f>SUMIF('Mortgage - Monthly'!$A$7:$A$486,I7+2,'Mortgage - Monthly'!$H$7:$H$486)</f>
        <v>0</v>
      </c>
      <c r="J32" s="32">
        <f>SUMIF('Mortgage - Monthly'!$A$7:$A$486,J7+2,'Mortgage - Monthly'!$H$7:$H$486)</f>
        <v>0</v>
      </c>
      <c r="K32" s="32">
        <f>SUMIF('Mortgage - Monthly'!$A$7:$A$486,K7+2,'Mortgage - Monthly'!$H$7:$H$486)</f>
        <v>0</v>
      </c>
      <c r="L32" s="32">
        <f>SUMIF('Mortgage - Monthly'!$A$7:$A$486,L7+2,'Mortgage - Monthly'!$H$7:$H$486)</f>
        <v>0</v>
      </c>
      <c r="M32" s="32">
        <f>SUMIF('Mortgage - Monthly'!$A$7:$A$486,M7+2,'Mortgage - Monthly'!$H$7:$H$486)</f>
        <v>0</v>
      </c>
      <c r="N32" s="32">
        <f>SUMIF('Mortgage - Monthly'!$A$7:$A$486,N7+2,'Mortgage - Monthly'!$H$7:$H$486)</f>
        <v>0</v>
      </c>
      <c r="O32" s="32">
        <f>SUMIF('Mortgage - Monthly'!$A$7:$A$486,O7+2,'Mortgage - Monthly'!$H$7:$H$486)</f>
        <v>0</v>
      </c>
      <c r="P32" s="32">
        <f>SUMIF('Mortgage - Monthly'!$A$7:$A$486,P7+2,'Mortgage - Monthly'!$H$7:$H$486)</f>
        <v>0</v>
      </c>
      <c r="Q32" s="32">
        <f>SUMIF('Mortgage - Monthly'!$A$7:$A$486,Q7+2,'Mortgage - Monthly'!$H$7:$H$486)</f>
        <v>0</v>
      </c>
      <c r="R32" s="32">
        <f>SUMIF('Mortgage - Monthly'!$A$7:$A$486,R7+2,'Mortgage - Monthly'!$H$7:$H$486)</f>
        <v>0</v>
      </c>
      <c r="S32" s="32">
        <f>SUMIF('Mortgage - Monthly'!$A$7:$A$486,S7+2,'Mortgage - Monthly'!$H$7:$H$486)</f>
        <v>0</v>
      </c>
      <c r="T32" s="32">
        <f>SUMIF('Mortgage - Monthly'!$A$7:$A$486,T7+2,'Mortgage - Monthly'!$H$7:$H$486)</f>
        <v>0</v>
      </c>
      <c r="U32" s="32">
        <f>SUMIF('Mortgage - Monthly'!$A$7:$A$486,U7+2,'Mortgage - Monthly'!$H$7:$H$486)</f>
        <v>0</v>
      </c>
      <c r="V32" s="32">
        <f>SUMIF('Mortgage - Monthly'!$A$7:$A$486,V7+2,'Mortgage - Monthly'!$H$7:$H$486)</f>
        <v>0</v>
      </c>
      <c r="W32" s="32">
        <f>SUMIF('Mortgage - Monthly'!$A$7:$A$486,W7+2,'Mortgage - Monthly'!$H$7:$H$486)</f>
        <v>0</v>
      </c>
      <c r="X32" s="32">
        <f>SUMIF('Mortgage - Monthly'!$A$7:$A$486,X7+2,'Mortgage - Monthly'!$H$7:$H$486)</f>
        <v>0</v>
      </c>
      <c r="Y32" s="32">
        <f>SUMIF('Mortgage - Monthly'!$A$7:$A$486,Y7+2,'Mortgage - Monthly'!$H$7:$H$486)</f>
        <v>0</v>
      </c>
      <c r="Z32" s="32">
        <f>SUMIF('Mortgage - Monthly'!$A$7:$A$486,Z7+2,'Mortgage - Monthly'!$H$7:$H$486)</f>
        <v>0</v>
      </c>
      <c r="AA32" s="32">
        <f>SUMIF('Mortgage - Monthly'!$A$7:$A$486,AA7+2,'Mortgage - Monthly'!$H$7:$H$486)</f>
        <v>0</v>
      </c>
      <c r="AB32" s="32">
        <f>SUMIF('Mortgage - Monthly'!$A$7:$A$486,AB7+2,'Mortgage - Monthly'!$H$7:$H$486)</f>
        <v>0</v>
      </c>
      <c r="AC32" s="32">
        <f>SUMIF('Mortgage - Monthly'!$A$7:$A$486,AC7+2,'Mortgage - Monthly'!$H$7:$H$486)</f>
        <v>0</v>
      </c>
      <c r="AD32" s="32">
        <f>SUMIF('Mortgage - Monthly'!$A$7:$A$486,AD7+2,'Mortgage - Monthly'!$H$7:$H$486)</f>
        <v>0</v>
      </c>
      <c r="AE32" s="32">
        <f>SUMIF('Mortgage - Monthly'!$A$7:$A$486,AE7+2,'Mortgage - Monthly'!$H$7:$H$486)</f>
        <v>0</v>
      </c>
      <c r="AF32" s="32">
        <f>SUMIF('Mortgage - Monthly'!$A$7:$A$486,AF7+2,'Mortgage - Monthly'!$H$7:$H$486)</f>
        <v>0</v>
      </c>
      <c r="AG32" s="32">
        <f>SUMIF('Mortgage - Monthly'!$A$7:$A$486,AG7+2,'Mortgage - Monthly'!$H$7:$H$486)</f>
        <v>0</v>
      </c>
      <c r="AH32" s="32">
        <f>SUMIF('Mortgage - Monthly'!$A$7:$A$486,AH7+2,'Mortgage - Monthly'!$H$7:$H$486)</f>
        <v>0</v>
      </c>
      <c r="AI32" s="32">
        <f>SUMIF('Mortgage - Monthly'!$A$7:$A$486,AI7+2,'Mortgage - Monthly'!$H$7:$H$486)</f>
        <v>0</v>
      </c>
    </row>
    <row r="33" spans="1:35" s="6" customFormat="1" hidden="1">
      <c r="A33" s="273" t="s">
        <v>188</v>
      </c>
      <c r="B33" s="453"/>
      <c r="C33" s="381"/>
      <c r="D33" s="395"/>
      <c r="E33" s="395"/>
      <c r="F33" s="32">
        <f>SUMIF('Mortgage - Monthly'!$A$7:$A$486,F7+2,'Mortgage - Monthly'!$K$7:$K$486)</f>
        <v>0</v>
      </c>
      <c r="G33" s="32">
        <f>SUMIF('Mortgage - Monthly'!$A$7:$A$486,G7+2,'Mortgage - Monthly'!$K$7:$K$486)</f>
        <v>0</v>
      </c>
      <c r="H33" s="32">
        <f>SUMIF('Mortgage - Monthly'!$A$7:$A$486,H7+2,'Mortgage - Monthly'!$K$7:$K$486)</f>
        <v>0</v>
      </c>
      <c r="I33" s="32">
        <f>SUMIF('Mortgage - Monthly'!$A$7:$A$486,I7+2,'Mortgage - Monthly'!$K$7:$K$486)</f>
        <v>0</v>
      </c>
      <c r="J33" s="32">
        <f>SUMIF('Mortgage - Monthly'!$A$7:$A$486,J7+2,'Mortgage - Monthly'!$K$7:$K$486)</f>
        <v>0</v>
      </c>
      <c r="K33" s="32">
        <f>SUMIF('Mortgage - Monthly'!$A$7:$A$486,K7+2,'Mortgage - Monthly'!$K$7:$K$486)</f>
        <v>0</v>
      </c>
      <c r="L33" s="32">
        <f>SUMIF('Mortgage - Monthly'!$A$7:$A$486,L7+2,'Mortgage - Monthly'!$K$7:$K$486)</f>
        <v>0</v>
      </c>
      <c r="M33" s="32">
        <f>SUMIF('Mortgage - Monthly'!$A$7:$A$486,M7+2,'Mortgage - Monthly'!$K$7:$K$486)</f>
        <v>0</v>
      </c>
      <c r="N33" s="32">
        <f>SUMIF('Mortgage - Monthly'!$A$7:$A$486,N7+2,'Mortgage - Monthly'!$K$7:$K$486)</f>
        <v>0</v>
      </c>
      <c r="O33" s="32">
        <f>SUMIF('Mortgage - Monthly'!$A$7:$A$486,O7+2,'Mortgage - Monthly'!$K$7:$K$486)</f>
        <v>0</v>
      </c>
      <c r="P33" s="32">
        <f>SUMIF('Mortgage - Monthly'!$A$7:$A$486,P7+2,'Mortgage - Monthly'!$K$7:$K$486)</f>
        <v>0</v>
      </c>
      <c r="Q33" s="32">
        <f>SUMIF('Mortgage - Monthly'!$A$7:$A$486,Q7+2,'Mortgage - Monthly'!$K$7:$K$486)</f>
        <v>0</v>
      </c>
      <c r="R33" s="32">
        <f>SUMIF('Mortgage - Monthly'!$A$7:$A$486,R7+2,'Mortgage - Monthly'!$K$7:$K$486)</f>
        <v>0</v>
      </c>
      <c r="S33" s="32">
        <f>SUMIF('Mortgage - Monthly'!$A$7:$A$486,S7+2,'Mortgage - Monthly'!$K$7:$K$486)</f>
        <v>0</v>
      </c>
      <c r="T33" s="32">
        <f>SUMIF('Mortgage - Monthly'!$A$7:$A$486,T7+2,'Mortgage - Monthly'!$K$7:$K$486)</f>
        <v>0</v>
      </c>
      <c r="U33" s="32">
        <f>SUMIF('Mortgage - Monthly'!$A$7:$A$486,U7+2,'Mortgage - Monthly'!$K$7:$K$486)</f>
        <v>0</v>
      </c>
      <c r="V33" s="32">
        <f>SUMIF('Mortgage - Monthly'!$A$7:$A$486,V7+2,'Mortgage - Monthly'!$K$7:$K$486)</f>
        <v>0</v>
      </c>
      <c r="W33" s="32">
        <f>SUMIF('Mortgage - Monthly'!$A$7:$A$486,W7+2,'Mortgage - Monthly'!$K$7:$K$486)</f>
        <v>0</v>
      </c>
      <c r="X33" s="32">
        <f>SUMIF('Mortgage - Monthly'!$A$7:$A$486,X7+2,'Mortgage - Monthly'!$K$7:$K$486)</f>
        <v>0</v>
      </c>
      <c r="Y33" s="32">
        <f>SUMIF('Mortgage - Monthly'!$A$7:$A$486,Y7+2,'Mortgage - Monthly'!$K$7:$K$486)</f>
        <v>0</v>
      </c>
      <c r="Z33" s="32">
        <f>SUMIF('Mortgage - Monthly'!$A$7:$A$486,Z7+2,'Mortgage - Monthly'!$K$7:$K$486)</f>
        <v>0</v>
      </c>
      <c r="AA33" s="32">
        <f>SUMIF('Mortgage - Monthly'!$A$7:$A$486,AA7+2,'Mortgage - Monthly'!$K$7:$K$486)</f>
        <v>0</v>
      </c>
      <c r="AB33" s="32">
        <f>SUMIF('Mortgage - Monthly'!$A$7:$A$486,AB7+2,'Mortgage - Monthly'!$K$7:$K$486)</f>
        <v>0</v>
      </c>
      <c r="AC33" s="32">
        <f>SUMIF('Mortgage - Monthly'!$A$7:$A$486,AC7+2,'Mortgage - Monthly'!$K$7:$K$486)</f>
        <v>0</v>
      </c>
      <c r="AD33" s="32">
        <f>SUMIF('Mortgage - Monthly'!$A$7:$A$486,AD7+2,'Mortgage - Monthly'!$K$7:$K$486)</f>
        <v>0</v>
      </c>
      <c r="AE33" s="32">
        <f>SUMIF('Mortgage - Monthly'!$A$7:$A$486,AE7+2,'Mortgage - Monthly'!$K$7:$K$486)</f>
        <v>0</v>
      </c>
      <c r="AF33" s="32">
        <f>SUMIF('Mortgage - Monthly'!$A$7:$A$486,AF7+2,'Mortgage - Monthly'!$K$7:$K$486)</f>
        <v>0</v>
      </c>
      <c r="AG33" s="32">
        <f>SUMIF('Mortgage - Monthly'!$A$7:$A$486,AG7+2,'Mortgage - Monthly'!$K$7:$K$486)</f>
        <v>0</v>
      </c>
      <c r="AH33" s="32">
        <f>SUMIF('Mortgage - Monthly'!$A$7:$A$486,AH7+2,'Mortgage - Monthly'!$K$7:$K$486)</f>
        <v>0</v>
      </c>
      <c r="AI33" s="32">
        <f>SUMIF('Mortgage - Monthly'!$A$7:$A$486,AI7+2,'Mortgage - Monthly'!$K$7:$K$486)</f>
        <v>0</v>
      </c>
    </row>
    <row r="34" spans="1:35">
      <c r="A34" s="488" t="s">
        <v>18</v>
      </c>
      <c r="B34" s="451"/>
      <c r="C34" s="387"/>
      <c r="D34" s="275"/>
      <c r="E34" s="275"/>
      <c r="F34" s="275">
        <f t="shared" ref="F34:AI34" si="16">SUM(F30:F33)</f>
        <v>304377.86024788284</v>
      </c>
      <c r="G34" s="275">
        <f t="shared" si="16"/>
        <v>304377.8602478829</v>
      </c>
      <c r="H34" s="275">
        <f t="shared" si="16"/>
        <v>304377.8602478829</v>
      </c>
      <c r="I34" s="275">
        <f t="shared" si="16"/>
        <v>304377.86024788284</v>
      </c>
      <c r="J34" s="275">
        <f t="shared" si="16"/>
        <v>304377.86024788284</v>
      </c>
      <c r="K34" s="275">
        <f t="shared" si="16"/>
        <v>304377.8602478829</v>
      </c>
      <c r="L34" s="275">
        <f t="shared" si="16"/>
        <v>304377.8602478829</v>
      </c>
      <c r="M34" s="275">
        <f t="shared" si="16"/>
        <v>304377.8602478829</v>
      </c>
      <c r="N34" s="275">
        <f t="shared" si="16"/>
        <v>304377.8602478829</v>
      </c>
      <c r="O34" s="275">
        <f t="shared" si="16"/>
        <v>304377.86024788284</v>
      </c>
      <c r="P34" s="275">
        <f t="shared" si="16"/>
        <v>304377.8602478829</v>
      </c>
      <c r="Q34" s="275">
        <f t="shared" si="16"/>
        <v>304377.8602478829</v>
      </c>
      <c r="R34" s="275">
        <f t="shared" si="16"/>
        <v>304377.8602478829</v>
      </c>
      <c r="S34" s="275">
        <f t="shared" si="16"/>
        <v>304377.8602478829</v>
      </c>
      <c r="T34" s="275">
        <f t="shared" si="16"/>
        <v>304377.8602478829</v>
      </c>
      <c r="U34" s="275">
        <f t="shared" si="16"/>
        <v>304377.8602478829</v>
      </c>
      <c r="V34" s="275">
        <f t="shared" si="16"/>
        <v>304377.8602478829</v>
      </c>
      <c r="W34" s="275">
        <f t="shared" si="16"/>
        <v>304377.86024788284</v>
      </c>
      <c r="X34" s="275">
        <f t="shared" si="16"/>
        <v>304377.86024788284</v>
      </c>
      <c r="Y34" s="275">
        <f t="shared" si="16"/>
        <v>304377.8602478829</v>
      </c>
      <c r="Z34" s="275">
        <f t="shared" si="16"/>
        <v>304377.8602478829</v>
      </c>
      <c r="AA34" s="275">
        <f t="shared" si="16"/>
        <v>304377.86024788284</v>
      </c>
      <c r="AB34" s="275">
        <f t="shared" si="16"/>
        <v>304377.8602478829</v>
      </c>
      <c r="AC34" s="275">
        <f t="shared" si="16"/>
        <v>304377.86024788284</v>
      </c>
      <c r="AD34" s="275">
        <f t="shared" si="16"/>
        <v>304377.8602478829</v>
      </c>
      <c r="AE34" s="275">
        <f t="shared" si="16"/>
        <v>304377.8602478829</v>
      </c>
      <c r="AF34" s="275">
        <f t="shared" si="16"/>
        <v>304377.8602478829</v>
      </c>
      <c r="AG34" s="275">
        <f t="shared" si="16"/>
        <v>304377.86024788284</v>
      </c>
      <c r="AH34" s="275">
        <f t="shared" si="16"/>
        <v>304377.8602478829</v>
      </c>
      <c r="AI34" s="275">
        <f t="shared" si="16"/>
        <v>304377.8602478829</v>
      </c>
    </row>
    <row r="35" spans="1:35">
      <c r="A35" s="516" t="s">
        <v>617</v>
      </c>
      <c r="B35" s="389"/>
      <c r="C35" s="733"/>
      <c r="D35" s="383"/>
      <c r="E35" s="383"/>
      <c r="F35" s="1103">
        <f>F27/F34</f>
        <v>1.4516343023325837</v>
      </c>
      <c r="G35" s="1103">
        <f t="shared" ref="G35:Y35" ca="1" si="17">G27/G34</f>
        <v>1.431986926666899</v>
      </c>
      <c r="H35" s="1103">
        <f t="shared" ca="1" si="17"/>
        <v>1.4103876399343898</v>
      </c>
      <c r="I35" s="1103">
        <f t="shared" ca="1" si="17"/>
        <v>1.3867506350071148</v>
      </c>
      <c r="J35" s="1103">
        <f t="shared" ca="1" si="17"/>
        <v>1.3609869855473731</v>
      </c>
      <c r="K35" s="1103">
        <f t="shared" ca="1" si="17"/>
        <v>1.3330045415315006</v>
      </c>
      <c r="L35" s="1103">
        <f t="shared" ca="1" si="17"/>
        <v>1.3027078214213643</v>
      </c>
      <c r="M35" s="1103">
        <f t="shared" ca="1" si="17"/>
        <v>1.2699979008786617</v>
      </c>
      <c r="N35" s="1103">
        <f t="shared" ca="1" si="17"/>
        <v>1.234772297913832</v>
      </c>
      <c r="O35" s="1103">
        <f t="shared" ca="1" si="17"/>
        <v>1.1969248543580902</v>
      </c>
      <c r="P35" s="1103">
        <f t="shared" ca="1" si="17"/>
        <v>1.3206151171116411</v>
      </c>
      <c r="Q35" s="1103">
        <f t="shared" ca="1" si="17"/>
        <v>1.2771901976417486</v>
      </c>
      <c r="R35" s="1103">
        <f t="shared" ca="1" si="17"/>
        <v>1.2308016631280938</v>
      </c>
      <c r="S35" s="1103">
        <f t="shared" ca="1" si="17"/>
        <v>1.1813273877701702</v>
      </c>
      <c r="T35" s="1103">
        <f t="shared" ca="1" si="17"/>
        <v>1.1286409176464782</v>
      </c>
      <c r="U35" s="1103">
        <f t="shared" ca="1" si="17"/>
        <v>1.0842515392241465</v>
      </c>
      <c r="V35" s="1103">
        <f t="shared" ca="1" si="17"/>
        <v>1.025092491457098</v>
      </c>
      <c r="W35" s="1103">
        <f t="shared" ca="1" si="17"/>
        <v>0.96232494037815841</v>
      </c>
      <c r="X35" s="1103">
        <f t="shared" ca="1" si="17"/>
        <v>0.89580395625039788</v>
      </c>
      <c r="Y35" s="1103">
        <f t="shared" ca="1" si="17"/>
        <v>0.82537952795202385</v>
      </c>
      <c r="Z35" s="383"/>
      <c r="AA35" s="383"/>
      <c r="AB35" s="383"/>
      <c r="AC35" s="383"/>
      <c r="AD35" s="383"/>
      <c r="AE35" s="383"/>
      <c r="AF35" s="383"/>
      <c r="AG35" s="383"/>
      <c r="AH35" s="383"/>
      <c r="AI35" s="383"/>
    </row>
    <row r="36" spans="1:35" ht="15" customHeight="1">
      <c r="A36" s="509"/>
      <c r="B36" s="389"/>
      <c r="C36" s="73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3"/>
      <c r="U36" s="383"/>
      <c r="V36" s="383"/>
      <c r="W36" s="383"/>
      <c r="X36" s="383"/>
      <c r="Y36" s="383"/>
      <c r="Z36" s="383"/>
      <c r="AA36" s="383"/>
      <c r="AB36" s="383"/>
      <c r="AC36" s="383"/>
      <c r="AD36" s="383"/>
      <c r="AE36" s="383"/>
      <c r="AF36" s="383"/>
      <c r="AG36" s="383"/>
      <c r="AH36" s="383"/>
      <c r="AI36" s="383"/>
    </row>
    <row r="37" spans="1:35">
      <c r="A37" s="378" t="s">
        <v>408</v>
      </c>
      <c r="B37" s="735"/>
      <c r="C37" s="736"/>
      <c r="D37" s="33"/>
      <c r="E37" s="33"/>
      <c r="F37" s="33">
        <f>F27-F34</f>
        <v>137467.48255853722</v>
      </c>
      <c r="G37" s="33">
        <f t="shared" ref="G37:T37" ca="1" si="18">G27-G34</f>
        <v>131487.25639392983</v>
      </c>
      <c r="H37" s="33">
        <f t="shared" ca="1" si="18"/>
        <v>124912.91171540821</v>
      </c>
      <c r="I37" s="33">
        <f t="shared" ca="1" si="18"/>
        <v>117718.33073297556</v>
      </c>
      <c r="J37" s="33">
        <f t="shared" ca="1" si="18"/>
        <v>109876.44623824285</v>
      </c>
      <c r="K37" s="33">
        <f t="shared" ca="1" si="18"/>
        <v>101359.20980418543</v>
      </c>
      <c r="L37" s="33">
        <f t="shared" ca="1" si="18"/>
        <v>92137.558964533149</v>
      </c>
      <c r="M37" s="33">
        <f t="shared" ca="1" si="18"/>
        <v>82181.383340867003</v>
      </c>
      <c r="N37" s="33">
        <f t="shared" ca="1" si="18"/>
        <v>71459.48968449072</v>
      </c>
      <c r="O37" s="33">
        <f t="shared" ca="1" si="18"/>
        <v>59939.565799141477</v>
      </c>
      <c r="P37" s="33">
        <f t="shared" ca="1" si="18"/>
        <v>97588.143309565727</v>
      </c>
      <c r="Q37" s="33">
        <f t="shared" ca="1" si="18"/>
        <v>84370.559239883209</v>
      </c>
      <c r="R37" s="33">
        <f t="shared" ca="1" si="18"/>
        <v>70250.916364581906</v>
      </c>
      <c r="S37" s="33">
        <f t="shared" ca="1" si="18"/>
        <v>55192.042293822509</v>
      </c>
      <c r="T37" s="33">
        <f t="shared" ca="1" si="18"/>
        <v>39155.447253559134</v>
      </c>
      <c r="U37" s="33">
        <f t="shared" ref="U37:Y37" ca="1" si="19">U27-U34</f>
        <v>25644.303231636295</v>
      </c>
      <c r="V37" s="33">
        <f t="shared" ca="1" si="19"/>
        <v>7637.5988579997793</v>
      </c>
      <c r="W37" s="33">
        <f t="shared" ca="1" si="19"/>
        <v>-11467.45403240755</v>
      </c>
      <c r="X37" s="33">
        <f t="shared" ca="1" si="19"/>
        <v>-31714.968842798669</v>
      </c>
      <c r="Y37" s="33">
        <f t="shared" ca="1" si="19"/>
        <v>-53150.605637438217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>
      <c r="A38" s="376"/>
      <c r="B38" s="735"/>
      <c r="C38" s="736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idden="1">
      <c r="A39" s="378"/>
      <c r="B39" s="389"/>
      <c r="C39" s="736"/>
      <c r="D39" s="33"/>
      <c r="E39" s="33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8.399999999999999">
      <c r="A40" s="173"/>
      <c r="B40" s="389"/>
      <c r="C40" s="385" t="s">
        <v>411</v>
      </c>
      <c r="D40" s="396"/>
      <c r="E40" s="396"/>
      <c r="F40" s="383"/>
      <c r="G40" s="383"/>
      <c r="H40" s="383"/>
      <c r="I40" s="383"/>
      <c r="J40" s="383"/>
      <c r="K40" s="383"/>
      <c r="L40" s="383"/>
      <c r="M40" s="383"/>
      <c r="N40" s="383"/>
      <c r="O40" s="383"/>
      <c r="P40" s="383"/>
      <c r="Q40" s="383"/>
      <c r="R40" s="383"/>
      <c r="S40" s="383"/>
      <c r="T40" s="383"/>
      <c r="U40" s="383"/>
      <c r="V40" s="383"/>
      <c r="W40" s="383"/>
      <c r="X40" s="383"/>
      <c r="Y40" s="383"/>
      <c r="Z40" s="383"/>
      <c r="AA40" s="383"/>
      <c r="AB40" s="383"/>
      <c r="AC40" s="383"/>
      <c r="AD40" s="383"/>
      <c r="AE40" s="383"/>
      <c r="AF40" s="383"/>
      <c r="AG40" s="383"/>
      <c r="AH40" s="383"/>
      <c r="AI40" s="383"/>
    </row>
    <row r="41" spans="1:35" ht="15.4" thickBot="1">
      <c r="A41" s="378" t="s">
        <v>43</v>
      </c>
      <c r="B41" s="389"/>
      <c r="C41" s="397">
        <f ca="1">SUM(F41:T41)</f>
        <v>1375096.7436937238</v>
      </c>
      <c r="D41"/>
      <c r="E41"/>
      <c r="F41" s="388">
        <f>F27-F34</f>
        <v>137467.48255853722</v>
      </c>
      <c r="G41" s="388">
        <f t="shared" ref="G41:AI41" ca="1" si="20">G27-G34</f>
        <v>131487.25639392983</v>
      </c>
      <c r="H41" s="388">
        <f t="shared" ca="1" si="20"/>
        <v>124912.91171540821</v>
      </c>
      <c r="I41" s="388">
        <f t="shared" ca="1" si="20"/>
        <v>117718.33073297556</v>
      </c>
      <c r="J41" s="388">
        <f t="shared" ca="1" si="20"/>
        <v>109876.44623824285</v>
      </c>
      <c r="K41" s="388">
        <f t="shared" ca="1" si="20"/>
        <v>101359.20980418543</v>
      </c>
      <c r="L41" s="388">
        <f t="shared" ca="1" si="20"/>
        <v>92137.558964533149</v>
      </c>
      <c r="M41" s="388">
        <f t="shared" ca="1" si="20"/>
        <v>82181.383340867003</v>
      </c>
      <c r="N41" s="388">
        <f t="shared" ca="1" si="20"/>
        <v>71459.48968449072</v>
      </c>
      <c r="O41" s="388">
        <f t="shared" ca="1" si="20"/>
        <v>59939.565799141477</v>
      </c>
      <c r="P41" s="388">
        <f t="shared" ca="1" si="20"/>
        <v>97588.143309565727</v>
      </c>
      <c r="Q41" s="388">
        <f t="shared" ca="1" si="20"/>
        <v>84370.559239883209</v>
      </c>
      <c r="R41" s="388">
        <f t="shared" ca="1" si="20"/>
        <v>70250.916364581906</v>
      </c>
      <c r="S41" s="388">
        <f t="shared" ca="1" si="20"/>
        <v>55192.042293822509</v>
      </c>
      <c r="T41" s="388">
        <f t="shared" ca="1" si="20"/>
        <v>39155.447253559134</v>
      </c>
      <c r="U41" s="388">
        <f t="shared" ca="1" si="20"/>
        <v>25644.303231636295</v>
      </c>
      <c r="V41" s="388">
        <f t="shared" ca="1" si="20"/>
        <v>7637.5988579997793</v>
      </c>
      <c r="W41" s="388">
        <f t="shared" ca="1" si="20"/>
        <v>-11467.45403240755</v>
      </c>
      <c r="X41" s="388">
        <f t="shared" ca="1" si="20"/>
        <v>-31714.968842798669</v>
      </c>
      <c r="Y41" s="388">
        <f t="shared" ca="1" si="20"/>
        <v>-53150.605637438217</v>
      </c>
      <c r="Z41" s="388">
        <f t="shared" si="20"/>
        <v>-43806.731687803636</v>
      </c>
      <c r="AA41" s="388">
        <f t="shared" si="20"/>
        <v>-66801.588518678967</v>
      </c>
      <c r="AB41" s="388">
        <f t="shared" si="20"/>
        <v>-91102.530868235393</v>
      </c>
      <c r="AC41" s="388">
        <f t="shared" si="20"/>
        <v>-116761.06609830662</v>
      </c>
      <c r="AD41" s="388">
        <f t="shared" si="20"/>
        <v>-143830.49328750966</v>
      </c>
      <c r="AE41" s="388">
        <f t="shared" si="20"/>
        <v>-172365.96191266167</v>
      </c>
      <c r="AF41" s="388">
        <f t="shared" si="20"/>
        <v>-202424.53238924721</v>
      </c>
      <c r="AG41" s="388">
        <f t="shared" si="20"/>
        <v>-234065.23852866405</v>
      </c>
      <c r="AH41" s="388">
        <f t="shared" si="20"/>
        <v>-267349.15197176754</v>
      </c>
      <c r="AI41" s="388">
        <f t="shared" si="20"/>
        <v>-302339.44866005646</v>
      </c>
    </row>
    <row r="42" spans="1:35" ht="18.75" thickTop="1">
      <c r="A42" s="378"/>
      <c r="B42" s="389"/>
      <c r="C42" s="385"/>
      <c r="D42"/>
      <c r="E42"/>
      <c r="F42" s="466"/>
      <c r="G42" s="466"/>
      <c r="H42" s="466"/>
      <c r="I42" s="466"/>
      <c r="J42" s="466"/>
      <c r="K42" s="466"/>
      <c r="L42" s="466"/>
      <c r="M42" s="466"/>
      <c r="N42" s="466"/>
      <c r="O42" s="466"/>
      <c r="P42" s="466"/>
      <c r="Q42" s="466"/>
      <c r="R42" s="466"/>
      <c r="S42" s="466"/>
      <c r="T42" s="466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</row>
    <row r="43" spans="1:35" ht="18.399999999999999">
      <c r="A43" s="378" t="s">
        <v>294</v>
      </c>
      <c r="B43" s="412">
        <v>0.03</v>
      </c>
      <c r="C43" s="385"/>
      <c r="D43" s="500"/>
      <c r="E43" s="500"/>
      <c r="F43" s="466">
        <v>12000</v>
      </c>
      <c r="G43" s="32">
        <f>F43*(1+$B43)</f>
        <v>12360</v>
      </c>
      <c r="H43" s="32">
        <f t="shared" ref="H43:T43" si="21">G43*(1+$B43)</f>
        <v>12730.800000000001</v>
      </c>
      <c r="I43" s="32">
        <f t="shared" si="21"/>
        <v>13112.724000000002</v>
      </c>
      <c r="J43" s="32">
        <f t="shared" si="21"/>
        <v>13506.105720000003</v>
      </c>
      <c r="K43" s="32">
        <f t="shared" si="21"/>
        <v>13911.288891600003</v>
      </c>
      <c r="L43" s="32">
        <f t="shared" si="21"/>
        <v>14328.627558348004</v>
      </c>
      <c r="M43" s="32">
        <f t="shared" si="21"/>
        <v>14758.486385098444</v>
      </c>
      <c r="N43" s="32">
        <f t="shared" si="21"/>
        <v>15201.240976651397</v>
      </c>
      <c r="O43" s="32">
        <f t="shared" si="21"/>
        <v>15657.278205950939</v>
      </c>
      <c r="P43" s="32">
        <f t="shared" si="21"/>
        <v>16126.996552129467</v>
      </c>
      <c r="Q43" s="32">
        <f t="shared" si="21"/>
        <v>16610.806448693351</v>
      </c>
      <c r="R43" s="32">
        <f t="shared" si="21"/>
        <v>17109.130642154152</v>
      </c>
      <c r="S43" s="32">
        <f t="shared" si="21"/>
        <v>17622.404561418778</v>
      </c>
      <c r="T43" s="32">
        <f t="shared" si="21"/>
        <v>18151.076698261342</v>
      </c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</row>
    <row r="44" spans="1:35" ht="18.399999999999999">
      <c r="A44" s="378" t="s">
        <v>293</v>
      </c>
      <c r="B44" s="616">
        <f ca="1">'Sources and Use'!C32</f>
        <v>1145990.7770534179</v>
      </c>
      <c r="C44" s="385"/>
      <c r="D44" s="500"/>
      <c r="E44" s="500"/>
      <c r="F44" s="466">
        <f>F41-F43</f>
        <v>125467.48255853722</v>
      </c>
      <c r="G44" s="466">
        <f t="shared" ref="G44" ca="1" si="22">G41-G43</f>
        <v>119127.25639392983</v>
      </c>
      <c r="H44" s="466">
        <f ca="1">MAX(0, MIN(H41-H43,$B$44-SUM($F$44:G44)))</f>
        <v>112182.1117154082</v>
      </c>
      <c r="I44" s="466">
        <f ca="1">MAX(0, MIN(I41-I43,$B$44-SUM($F$44:H44)))</f>
        <v>104605.60673297556</v>
      </c>
      <c r="J44" s="466">
        <f ca="1">MAX(0, MIN(J41-J43,$B$44-SUM($F$44:I44)))</f>
        <v>96370.34051824284</v>
      </c>
      <c r="K44" s="466">
        <f ca="1">MAX(0, MIN(K41-K43,$B$44-SUM($F$44:J44)))</f>
        <v>87447.920912585425</v>
      </c>
      <c r="L44" s="466">
        <f ca="1">MAX(0, MIN(L41-L43,$B$44-SUM($F$44:K44)))</f>
        <v>77808.931406185147</v>
      </c>
      <c r="M44" s="466">
        <f ca="1">MAX(0, MIN(M41-M43,$B$44-SUM($F$44:L44)))</f>
        <v>67422.896955768563</v>
      </c>
      <c r="N44" s="466">
        <f ca="1">MAX(0, MIN(N41-N43,$B$44-SUM($F$44:M44)))</f>
        <v>56258.248707839324</v>
      </c>
      <c r="O44" s="466">
        <f ca="1">MAX(0, MIN(O41-O43,$B$44-SUM($F$44:N44)))</f>
        <v>44282.287593190536</v>
      </c>
      <c r="P44" s="466">
        <f ca="1">MAX(0, MIN(P41-P43,$B$44-SUM($F$44:O44)))</f>
        <v>81461.146757436261</v>
      </c>
      <c r="Q44" s="466">
        <f ca="1">MAX(0, MIN(Q41-Q43,$B$44-SUM($F$44:P44)))</f>
        <v>67759.752791189851</v>
      </c>
      <c r="R44" s="466">
        <f ca="1">MAX(0, MIN(R41-R43,$B$44-SUM($F$44:Q44)))</f>
        <v>53141.785722427754</v>
      </c>
      <c r="S44" s="466">
        <f ca="1">MAX(0, MIN(S41-S43,$B$44-SUM($F$44:R44)))</f>
        <v>37569.637732403731</v>
      </c>
      <c r="T44" s="466">
        <f ca="1">MAX(0, MIN(T41-T43,$B$44-SUM($F$44:S44)))</f>
        <v>15085.370555297704</v>
      </c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</row>
    <row r="45" spans="1:35" ht="18.399999999999999">
      <c r="A45" s="378"/>
      <c r="B45" s="616"/>
      <c r="C45" s="385"/>
      <c r="D45" s="500"/>
      <c r="E45" s="500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466"/>
      <c r="S45" s="466"/>
      <c r="T45" s="466"/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</row>
    <row r="46" spans="1:35" s="629" customFormat="1" ht="18.75" thickBot="1">
      <c r="A46" s="626" t="s">
        <v>325</v>
      </c>
      <c r="B46" s="689"/>
      <c r="C46" s="627"/>
      <c r="D46" s="628"/>
      <c r="E46" s="628"/>
      <c r="F46" s="690">
        <f>MAX(0, F41-SUM(F43:F44))</f>
        <v>0</v>
      </c>
      <c r="G46" s="690">
        <f t="shared" ref="G46:AI46" ca="1" si="23">MAX(0, G41-SUM(G43:G44))</f>
        <v>0</v>
      </c>
      <c r="H46" s="690">
        <f t="shared" ca="1" si="23"/>
        <v>0</v>
      </c>
      <c r="I46" s="690">
        <f t="shared" ca="1" si="23"/>
        <v>0</v>
      </c>
      <c r="J46" s="690">
        <f t="shared" ca="1" si="23"/>
        <v>0</v>
      </c>
      <c r="K46" s="690">
        <f t="shared" ca="1" si="23"/>
        <v>0</v>
      </c>
      <c r="L46" s="690">
        <f t="shared" ca="1" si="23"/>
        <v>0</v>
      </c>
      <c r="M46" s="690">
        <f t="shared" ca="1" si="23"/>
        <v>0</v>
      </c>
      <c r="N46" s="690">
        <f t="shared" ca="1" si="23"/>
        <v>0</v>
      </c>
      <c r="O46" s="690">
        <f t="shared" ca="1" si="23"/>
        <v>0</v>
      </c>
      <c r="P46" s="690">
        <f t="shared" ca="1" si="23"/>
        <v>0</v>
      </c>
      <c r="Q46" s="690">
        <f t="shared" ca="1" si="23"/>
        <v>0</v>
      </c>
      <c r="R46" s="690">
        <f t="shared" ca="1" si="23"/>
        <v>0</v>
      </c>
      <c r="S46" s="690">
        <f t="shared" ca="1" si="23"/>
        <v>0</v>
      </c>
      <c r="T46" s="690">
        <f t="shared" ca="1" si="23"/>
        <v>5919.0000000000873</v>
      </c>
      <c r="U46" s="690">
        <f t="shared" ca="1" si="23"/>
        <v>25644.303231636295</v>
      </c>
      <c r="V46" s="690">
        <f t="shared" ca="1" si="23"/>
        <v>7637.5988579997793</v>
      </c>
      <c r="W46" s="690">
        <f t="shared" ca="1" si="23"/>
        <v>0</v>
      </c>
      <c r="X46" s="690">
        <f t="shared" ca="1" si="23"/>
        <v>0</v>
      </c>
      <c r="Y46" s="690">
        <f t="shared" ca="1" si="23"/>
        <v>0</v>
      </c>
      <c r="Z46" s="690">
        <f t="shared" si="23"/>
        <v>0</v>
      </c>
      <c r="AA46" s="690">
        <f t="shared" si="23"/>
        <v>0</v>
      </c>
      <c r="AB46" s="690">
        <f t="shared" si="23"/>
        <v>0</v>
      </c>
      <c r="AC46" s="690">
        <f t="shared" si="23"/>
        <v>0</v>
      </c>
      <c r="AD46" s="690">
        <f t="shared" si="23"/>
        <v>0</v>
      </c>
      <c r="AE46" s="690">
        <f t="shared" si="23"/>
        <v>0</v>
      </c>
      <c r="AF46" s="690">
        <f t="shared" si="23"/>
        <v>0</v>
      </c>
      <c r="AG46" s="690">
        <f t="shared" si="23"/>
        <v>0</v>
      </c>
      <c r="AH46" s="690">
        <f t="shared" si="23"/>
        <v>0</v>
      </c>
      <c r="AI46" s="690">
        <f t="shared" si="23"/>
        <v>0</v>
      </c>
    </row>
    <row r="47" spans="1:35" s="513" customFormat="1" ht="18.75" thickTop="1">
      <c r="A47" s="516" t="s">
        <v>618</v>
      </c>
      <c r="B47" s="516"/>
      <c r="C47" s="1104"/>
      <c r="D47" s="583"/>
      <c r="E47" s="583"/>
      <c r="F47" s="726">
        <f t="shared" ref="F47:Y47" si="24">F46/(F20+F23)</f>
        <v>0</v>
      </c>
      <c r="G47" s="726">
        <f t="shared" ca="1" si="24"/>
        <v>0</v>
      </c>
      <c r="H47" s="726">
        <f t="shared" ca="1" si="24"/>
        <v>0</v>
      </c>
      <c r="I47" s="726">
        <f t="shared" ca="1" si="24"/>
        <v>0</v>
      </c>
      <c r="J47" s="726">
        <f t="shared" ca="1" si="24"/>
        <v>0</v>
      </c>
      <c r="K47" s="726">
        <f t="shared" ca="1" si="24"/>
        <v>0</v>
      </c>
      <c r="L47" s="726">
        <f t="shared" ca="1" si="24"/>
        <v>0</v>
      </c>
      <c r="M47" s="726">
        <f t="shared" ca="1" si="24"/>
        <v>0</v>
      </c>
      <c r="N47" s="726">
        <f t="shared" ca="1" si="24"/>
        <v>0</v>
      </c>
      <c r="O47" s="726">
        <f t="shared" ca="1" si="24"/>
        <v>0</v>
      </c>
      <c r="P47" s="726">
        <f t="shared" ca="1" si="24"/>
        <v>0</v>
      </c>
      <c r="Q47" s="726">
        <f t="shared" ca="1" si="24"/>
        <v>0</v>
      </c>
      <c r="R47" s="726">
        <f t="shared" ca="1" si="24"/>
        <v>0</v>
      </c>
      <c r="S47" s="726">
        <f t="shared" ca="1" si="24"/>
        <v>0</v>
      </c>
      <c r="T47" s="726">
        <f t="shared" ca="1" si="24"/>
        <v>2.3331893294856474E-3</v>
      </c>
      <c r="U47" s="726">
        <f t="shared" ca="1" si="24"/>
        <v>9.8207731627725937E-3</v>
      </c>
      <c r="V47" s="726">
        <f t="shared" ca="1" si="24"/>
        <v>2.841594661603455E-3</v>
      </c>
      <c r="W47" s="726">
        <f t="shared" ca="1" si="24"/>
        <v>0</v>
      </c>
      <c r="X47" s="726">
        <f t="shared" ca="1" si="24"/>
        <v>0</v>
      </c>
      <c r="Y47" s="726">
        <f t="shared" ca="1" si="24"/>
        <v>0</v>
      </c>
      <c r="Z47" s="1105"/>
      <c r="AA47" s="1105"/>
      <c r="AB47" s="1105"/>
      <c r="AC47" s="1105"/>
      <c r="AD47" s="1105"/>
      <c r="AE47" s="1105"/>
      <c r="AF47" s="1105"/>
      <c r="AG47" s="1105"/>
      <c r="AH47" s="1105"/>
      <c r="AI47" s="1105"/>
    </row>
    <row r="48" spans="1:35" s="500" customFormat="1" ht="18.75" customHeight="1"/>
    <row r="49" spans="1:35" s="500" customFormat="1">
      <c r="A49" s="378" t="s">
        <v>326</v>
      </c>
      <c r="B49" s="584">
        <v>0.25</v>
      </c>
      <c r="F49" s="32">
        <f>F46*$B49</f>
        <v>0</v>
      </c>
      <c r="G49" s="32">
        <f t="shared" ref="G49:AI49" ca="1" si="25">G46*$B49</f>
        <v>0</v>
      </c>
      <c r="H49" s="32">
        <f t="shared" ca="1" si="25"/>
        <v>0</v>
      </c>
      <c r="I49" s="32">
        <f t="shared" ca="1" si="25"/>
        <v>0</v>
      </c>
      <c r="J49" s="32">
        <f t="shared" ca="1" si="25"/>
        <v>0</v>
      </c>
      <c r="K49" s="32">
        <f t="shared" ca="1" si="25"/>
        <v>0</v>
      </c>
      <c r="L49" s="32">
        <f t="shared" ca="1" si="25"/>
        <v>0</v>
      </c>
      <c r="M49" s="32">
        <f t="shared" ca="1" si="25"/>
        <v>0</v>
      </c>
      <c r="N49" s="32">
        <f t="shared" ca="1" si="25"/>
        <v>0</v>
      </c>
      <c r="O49" s="32">
        <f t="shared" ca="1" si="25"/>
        <v>0</v>
      </c>
      <c r="P49" s="32">
        <f t="shared" ca="1" si="25"/>
        <v>0</v>
      </c>
      <c r="Q49" s="32">
        <f t="shared" ca="1" si="25"/>
        <v>0</v>
      </c>
      <c r="R49" s="32">
        <f t="shared" ca="1" si="25"/>
        <v>0</v>
      </c>
      <c r="S49" s="32">
        <f t="shared" ca="1" si="25"/>
        <v>0</v>
      </c>
      <c r="T49" s="32">
        <f t="shared" ca="1" si="25"/>
        <v>1479.7500000000218</v>
      </c>
      <c r="U49" s="32">
        <f t="shared" ca="1" si="25"/>
        <v>6411.0758079090738</v>
      </c>
      <c r="V49" s="32">
        <f t="shared" ca="1" si="25"/>
        <v>1909.3997144999448</v>
      </c>
      <c r="W49" s="32">
        <f t="shared" ca="1" si="25"/>
        <v>0</v>
      </c>
      <c r="X49" s="32">
        <f t="shared" ca="1" si="25"/>
        <v>0</v>
      </c>
      <c r="Y49" s="32">
        <f t="shared" ca="1" si="25"/>
        <v>0</v>
      </c>
      <c r="Z49" s="32">
        <f t="shared" si="25"/>
        <v>0</v>
      </c>
      <c r="AA49" s="32">
        <f t="shared" si="25"/>
        <v>0</v>
      </c>
      <c r="AB49" s="32">
        <f t="shared" si="25"/>
        <v>0</v>
      </c>
      <c r="AC49" s="32">
        <f t="shared" si="25"/>
        <v>0</v>
      </c>
      <c r="AD49" s="32">
        <f t="shared" si="25"/>
        <v>0</v>
      </c>
      <c r="AE49" s="32">
        <f t="shared" si="25"/>
        <v>0</v>
      </c>
      <c r="AF49" s="32">
        <f t="shared" si="25"/>
        <v>0</v>
      </c>
      <c r="AG49" s="32">
        <f t="shared" si="25"/>
        <v>0</v>
      </c>
      <c r="AH49" s="32">
        <f t="shared" si="25"/>
        <v>0</v>
      </c>
      <c r="AI49" s="32">
        <f t="shared" si="25"/>
        <v>0</v>
      </c>
    </row>
    <row r="50" spans="1:35" s="500" customFormat="1">
      <c r="A50" s="378" t="s">
        <v>327</v>
      </c>
      <c r="B50" s="584">
        <v>0.25</v>
      </c>
      <c r="F50" s="32">
        <f>F46*$B50</f>
        <v>0</v>
      </c>
      <c r="G50" s="32">
        <f t="shared" ref="G50:AI50" ca="1" si="26">G46*$B50</f>
        <v>0</v>
      </c>
      <c r="H50" s="32">
        <f t="shared" ca="1" si="26"/>
        <v>0</v>
      </c>
      <c r="I50" s="32">
        <f t="shared" ca="1" si="26"/>
        <v>0</v>
      </c>
      <c r="J50" s="32">
        <f t="shared" ca="1" si="26"/>
        <v>0</v>
      </c>
      <c r="K50" s="32">
        <f t="shared" ca="1" si="26"/>
        <v>0</v>
      </c>
      <c r="L50" s="32">
        <f t="shared" ca="1" si="26"/>
        <v>0</v>
      </c>
      <c r="M50" s="32">
        <f t="shared" ca="1" si="26"/>
        <v>0</v>
      </c>
      <c r="N50" s="32">
        <f t="shared" ca="1" si="26"/>
        <v>0</v>
      </c>
      <c r="O50" s="32">
        <f t="shared" ca="1" si="26"/>
        <v>0</v>
      </c>
      <c r="P50" s="32">
        <f t="shared" ca="1" si="26"/>
        <v>0</v>
      </c>
      <c r="Q50" s="32">
        <f t="shared" ca="1" si="26"/>
        <v>0</v>
      </c>
      <c r="R50" s="32">
        <f t="shared" ca="1" si="26"/>
        <v>0</v>
      </c>
      <c r="S50" s="32">
        <f t="shared" ca="1" si="26"/>
        <v>0</v>
      </c>
      <c r="T50" s="32">
        <f t="shared" ca="1" si="26"/>
        <v>1479.7500000000218</v>
      </c>
      <c r="U50" s="32">
        <f t="shared" ca="1" si="26"/>
        <v>6411.0758079090738</v>
      </c>
      <c r="V50" s="32">
        <f t="shared" ca="1" si="26"/>
        <v>1909.3997144999448</v>
      </c>
      <c r="W50" s="32">
        <f t="shared" ca="1" si="26"/>
        <v>0</v>
      </c>
      <c r="X50" s="32">
        <f t="shared" ca="1" si="26"/>
        <v>0</v>
      </c>
      <c r="Y50" s="32">
        <f t="shared" ca="1" si="26"/>
        <v>0</v>
      </c>
      <c r="Z50" s="32">
        <f t="shared" si="26"/>
        <v>0</v>
      </c>
      <c r="AA50" s="32">
        <f t="shared" si="26"/>
        <v>0</v>
      </c>
      <c r="AB50" s="32">
        <f t="shared" si="26"/>
        <v>0</v>
      </c>
      <c r="AC50" s="32">
        <f t="shared" si="26"/>
        <v>0</v>
      </c>
      <c r="AD50" s="32">
        <f t="shared" si="26"/>
        <v>0</v>
      </c>
      <c r="AE50" s="32">
        <f t="shared" si="26"/>
        <v>0</v>
      </c>
      <c r="AF50" s="32">
        <f t="shared" si="26"/>
        <v>0</v>
      </c>
      <c r="AG50" s="32">
        <f t="shared" si="26"/>
        <v>0</v>
      </c>
      <c r="AH50" s="32">
        <f t="shared" si="26"/>
        <v>0</v>
      </c>
      <c r="AI50" s="32">
        <f t="shared" si="26"/>
        <v>0</v>
      </c>
    </row>
    <row r="51" spans="1:35" s="500" customFormat="1"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5" s="500" customFormat="1">
      <c r="A52" s="378" t="s">
        <v>328</v>
      </c>
      <c r="F52" s="32">
        <f>F46-F49-F50</f>
        <v>0</v>
      </c>
      <c r="G52" s="32">
        <f t="shared" ref="G52:AI52" ca="1" si="27">G46-G49-G50</f>
        <v>0</v>
      </c>
      <c r="H52" s="32">
        <f t="shared" ca="1" si="27"/>
        <v>0</v>
      </c>
      <c r="I52" s="32">
        <f t="shared" ca="1" si="27"/>
        <v>0</v>
      </c>
      <c r="J52" s="32">
        <f t="shared" ca="1" si="27"/>
        <v>0</v>
      </c>
      <c r="K52" s="32">
        <f t="shared" ca="1" si="27"/>
        <v>0</v>
      </c>
      <c r="L52" s="32">
        <f t="shared" ca="1" si="27"/>
        <v>0</v>
      </c>
      <c r="M52" s="32">
        <f t="shared" ca="1" si="27"/>
        <v>0</v>
      </c>
      <c r="N52" s="32">
        <f t="shared" ca="1" si="27"/>
        <v>0</v>
      </c>
      <c r="O52" s="32">
        <f t="shared" ca="1" si="27"/>
        <v>0</v>
      </c>
      <c r="P52" s="32">
        <f t="shared" ca="1" si="27"/>
        <v>0</v>
      </c>
      <c r="Q52" s="32">
        <f t="shared" ca="1" si="27"/>
        <v>0</v>
      </c>
      <c r="R52" s="32">
        <f t="shared" ca="1" si="27"/>
        <v>0</v>
      </c>
      <c r="S52" s="32">
        <f t="shared" ca="1" si="27"/>
        <v>0</v>
      </c>
      <c r="T52" s="32">
        <f t="shared" ca="1" si="27"/>
        <v>2959.5000000000437</v>
      </c>
      <c r="U52" s="32">
        <f t="shared" ca="1" si="27"/>
        <v>12822.151615818148</v>
      </c>
      <c r="V52" s="32">
        <f t="shared" ca="1" si="27"/>
        <v>3818.7994289998896</v>
      </c>
      <c r="W52" s="32">
        <f t="shared" ca="1" si="27"/>
        <v>0</v>
      </c>
      <c r="X52" s="32">
        <f t="shared" ca="1" si="27"/>
        <v>0</v>
      </c>
      <c r="Y52" s="32">
        <f t="shared" ca="1" si="27"/>
        <v>0</v>
      </c>
      <c r="Z52" s="32">
        <f t="shared" si="27"/>
        <v>0</v>
      </c>
      <c r="AA52" s="32">
        <f t="shared" si="27"/>
        <v>0</v>
      </c>
      <c r="AB52" s="32">
        <f t="shared" si="27"/>
        <v>0</v>
      </c>
      <c r="AC52" s="32">
        <f t="shared" si="27"/>
        <v>0</v>
      </c>
      <c r="AD52" s="32">
        <f t="shared" si="27"/>
        <v>0</v>
      </c>
      <c r="AE52" s="32">
        <f t="shared" si="27"/>
        <v>0</v>
      </c>
      <c r="AF52" s="32">
        <f t="shared" si="27"/>
        <v>0</v>
      </c>
      <c r="AG52" s="32">
        <f t="shared" si="27"/>
        <v>0</v>
      </c>
      <c r="AH52" s="32">
        <f t="shared" si="27"/>
        <v>0</v>
      </c>
      <c r="AI52" s="32">
        <f t="shared" si="27"/>
        <v>0</v>
      </c>
    </row>
    <row r="53" spans="1:35" s="500" customFormat="1"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1:35" s="500" customFormat="1">
      <c r="A54" s="378" t="s">
        <v>329</v>
      </c>
      <c r="B54" s="584">
        <v>0.5</v>
      </c>
      <c r="F54" s="32">
        <f>F52*$B54</f>
        <v>0</v>
      </c>
      <c r="G54" s="32">
        <f t="shared" ref="G54:AI54" ca="1" si="28">G52*$B54</f>
        <v>0</v>
      </c>
      <c r="H54" s="32">
        <f t="shared" ca="1" si="28"/>
        <v>0</v>
      </c>
      <c r="I54" s="32">
        <f t="shared" ca="1" si="28"/>
        <v>0</v>
      </c>
      <c r="J54" s="32">
        <f t="shared" ca="1" si="28"/>
        <v>0</v>
      </c>
      <c r="K54" s="32">
        <f t="shared" ca="1" si="28"/>
        <v>0</v>
      </c>
      <c r="L54" s="32">
        <f t="shared" ca="1" si="28"/>
        <v>0</v>
      </c>
      <c r="M54" s="32">
        <f t="shared" ca="1" si="28"/>
        <v>0</v>
      </c>
      <c r="N54" s="32">
        <f t="shared" ca="1" si="28"/>
        <v>0</v>
      </c>
      <c r="O54" s="32">
        <f t="shared" ca="1" si="28"/>
        <v>0</v>
      </c>
      <c r="P54" s="32">
        <f t="shared" ca="1" si="28"/>
        <v>0</v>
      </c>
      <c r="Q54" s="32">
        <f t="shared" ca="1" si="28"/>
        <v>0</v>
      </c>
      <c r="R54" s="32">
        <f t="shared" ca="1" si="28"/>
        <v>0</v>
      </c>
      <c r="S54" s="32">
        <f t="shared" ca="1" si="28"/>
        <v>0</v>
      </c>
      <c r="T54" s="32">
        <f t="shared" ca="1" si="28"/>
        <v>1479.7500000000218</v>
      </c>
      <c r="U54" s="32">
        <f t="shared" ca="1" si="28"/>
        <v>6411.0758079090738</v>
      </c>
      <c r="V54" s="32">
        <f t="shared" ca="1" si="28"/>
        <v>1909.3997144999448</v>
      </c>
      <c r="W54" s="32">
        <f t="shared" ca="1" si="28"/>
        <v>0</v>
      </c>
      <c r="X54" s="32">
        <f t="shared" ca="1" si="28"/>
        <v>0</v>
      </c>
      <c r="Y54" s="32">
        <f t="shared" ca="1" si="28"/>
        <v>0</v>
      </c>
      <c r="Z54" s="32">
        <f t="shared" si="28"/>
        <v>0</v>
      </c>
      <c r="AA54" s="32">
        <f t="shared" si="28"/>
        <v>0</v>
      </c>
      <c r="AB54" s="32">
        <f t="shared" si="28"/>
        <v>0</v>
      </c>
      <c r="AC54" s="32">
        <f t="shared" si="28"/>
        <v>0</v>
      </c>
      <c r="AD54" s="32">
        <f t="shared" si="28"/>
        <v>0</v>
      </c>
      <c r="AE54" s="32">
        <f t="shared" si="28"/>
        <v>0</v>
      </c>
      <c r="AF54" s="32">
        <f t="shared" si="28"/>
        <v>0</v>
      </c>
      <c r="AG54" s="32">
        <f t="shared" si="28"/>
        <v>0</v>
      </c>
      <c r="AH54" s="32">
        <f t="shared" si="28"/>
        <v>0</v>
      </c>
      <c r="AI54" s="32">
        <f t="shared" si="28"/>
        <v>0</v>
      </c>
    </row>
    <row r="55" spans="1:35" s="500" customFormat="1">
      <c r="A55" s="8" t="s">
        <v>330</v>
      </c>
      <c r="B55" s="584">
        <v>0.5</v>
      </c>
      <c r="F55" s="32">
        <f>F52*$B55</f>
        <v>0</v>
      </c>
      <c r="G55" s="32">
        <f t="shared" ref="G55:AI55" ca="1" si="29">G52*$B55</f>
        <v>0</v>
      </c>
      <c r="H55" s="32">
        <f t="shared" ca="1" si="29"/>
        <v>0</v>
      </c>
      <c r="I55" s="32">
        <f t="shared" ca="1" si="29"/>
        <v>0</v>
      </c>
      <c r="J55" s="32">
        <f t="shared" ca="1" si="29"/>
        <v>0</v>
      </c>
      <c r="K55" s="32">
        <f t="shared" ca="1" si="29"/>
        <v>0</v>
      </c>
      <c r="L55" s="32">
        <f t="shared" ca="1" si="29"/>
        <v>0</v>
      </c>
      <c r="M55" s="32">
        <f t="shared" ca="1" si="29"/>
        <v>0</v>
      </c>
      <c r="N55" s="32">
        <f t="shared" ca="1" si="29"/>
        <v>0</v>
      </c>
      <c r="O55" s="32">
        <f t="shared" ca="1" si="29"/>
        <v>0</v>
      </c>
      <c r="P55" s="32">
        <f t="shared" ca="1" si="29"/>
        <v>0</v>
      </c>
      <c r="Q55" s="32">
        <f t="shared" ca="1" si="29"/>
        <v>0</v>
      </c>
      <c r="R55" s="32">
        <f t="shared" ca="1" si="29"/>
        <v>0</v>
      </c>
      <c r="S55" s="32">
        <f t="shared" ca="1" si="29"/>
        <v>0</v>
      </c>
      <c r="T55" s="32">
        <f t="shared" ca="1" si="29"/>
        <v>1479.7500000000218</v>
      </c>
      <c r="U55" s="32">
        <f t="shared" ca="1" si="29"/>
        <v>6411.0758079090738</v>
      </c>
      <c r="V55" s="32">
        <f t="shared" ca="1" si="29"/>
        <v>1909.3997144999448</v>
      </c>
      <c r="W55" s="32">
        <f t="shared" ca="1" si="29"/>
        <v>0</v>
      </c>
      <c r="X55" s="32">
        <f t="shared" ca="1" si="29"/>
        <v>0</v>
      </c>
      <c r="Y55" s="32">
        <f t="shared" ca="1" si="29"/>
        <v>0</v>
      </c>
      <c r="Z55" s="32">
        <f t="shared" si="29"/>
        <v>0</v>
      </c>
      <c r="AA55" s="32">
        <f t="shared" si="29"/>
        <v>0</v>
      </c>
      <c r="AB55" s="32">
        <f t="shared" si="29"/>
        <v>0</v>
      </c>
      <c r="AC55" s="32">
        <f t="shared" si="29"/>
        <v>0</v>
      </c>
      <c r="AD55" s="32">
        <f t="shared" si="29"/>
        <v>0</v>
      </c>
      <c r="AE55" s="32">
        <f t="shared" si="29"/>
        <v>0</v>
      </c>
      <c r="AF55" s="32">
        <f t="shared" si="29"/>
        <v>0</v>
      </c>
      <c r="AG55" s="32">
        <f t="shared" si="29"/>
        <v>0</v>
      </c>
      <c r="AH55" s="32">
        <f t="shared" si="29"/>
        <v>0</v>
      </c>
      <c r="AI55" s="32">
        <f t="shared" si="29"/>
        <v>0</v>
      </c>
    </row>
    <row r="56" spans="1:35" customFormat="1">
      <c r="T56">
        <f>T10/T20</f>
        <v>1.1473410054914166</v>
      </c>
    </row>
    <row r="57" spans="1:35" customFormat="1">
      <c r="T57" s="825">
        <f>T20*1.05-T10</f>
        <v>-246941.55944503564</v>
      </c>
    </row>
    <row r="58" spans="1:35" customFormat="1"/>
    <row r="59" spans="1:35" customFormat="1">
      <c r="F59">
        <f t="shared" ref="F59:T59" si="30">F10/F20</f>
        <v>1.3021397664171079</v>
      </c>
      <c r="G59" s="500">
        <f t="shared" si="30"/>
        <v>1.2904764953425023</v>
      </c>
      <c r="H59" s="500">
        <f t="shared" si="30"/>
        <v>1.2789089965526139</v>
      </c>
      <c r="I59" s="500">
        <f t="shared" si="30"/>
        <v>1.2674366389861769</v>
      </c>
      <c r="J59" s="500">
        <f t="shared" si="30"/>
        <v>1.2560587929386746</v>
      </c>
      <c r="K59" s="500">
        <f t="shared" si="30"/>
        <v>1.2447748301163166</v>
      </c>
      <c r="L59" s="500">
        <f t="shared" si="30"/>
        <v>1.2335841236887788</v>
      </c>
      <c r="M59" s="500">
        <f t="shared" si="30"/>
        <v>1.2224860483407307</v>
      </c>
      <c r="N59" s="500">
        <f t="shared" si="30"/>
        <v>1.2114799803221539</v>
      </c>
      <c r="O59" s="500">
        <f t="shared" si="30"/>
        <v>1.2005652974974652</v>
      </c>
      <c r="P59" s="500">
        <f t="shared" si="30"/>
        <v>1.1897413793934684</v>
      </c>
      <c r="Q59" s="500">
        <f t="shared" si="30"/>
        <v>1.1790076072461302</v>
      </c>
      <c r="R59" s="500">
        <f t="shared" si="30"/>
        <v>1.1683633640462092</v>
      </c>
      <c r="S59" s="500">
        <f t="shared" si="30"/>
        <v>1.1578080345837445</v>
      </c>
      <c r="T59" s="500">
        <f t="shared" si="30"/>
        <v>1.1473410054914166</v>
      </c>
    </row>
    <row r="60" spans="1:35" customFormat="1" hidden="1"/>
    <row r="61" spans="1:35" hidden="1">
      <c r="A61" s="19"/>
      <c r="B61" s="19"/>
      <c r="C61" s="382"/>
      <c r="D61" s="382"/>
      <c r="E61" s="382"/>
      <c r="F61" s="497">
        <f>F41/F20</f>
        <v>8.1146372930646374E-2</v>
      </c>
      <c r="G61" s="382"/>
      <c r="H61" s="382"/>
      <c r="I61" s="382"/>
      <c r="J61" s="382"/>
      <c r="K61" s="382"/>
      <c r="L61" s="382"/>
      <c r="M61" s="382"/>
      <c r="N61" s="382"/>
      <c r="O61" s="382"/>
      <c r="P61" s="382">
        <v>1.05</v>
      </c>
      <c r="Q61" s="382">
        <v>1.05</v>
      </c>
      <c r="R61" s="382">
        <v>1.05</v>
      </c>
      <c r="S61" s="382">
        <v>1.05</v>
      </c>
      <c r="T61" s="382">
        <v>1.05</v>
      </c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</row>
    <row r="62" spans="1:35" hidden="1">
      <c r="A62" s="19"/>
      <c r="B62" s="19"/>
      <c r="C62" s="382"/>
      <c r="D62" s="382"/>
      <c r="E62" s="382"/>
      <c r="F62" s="497">
        <f>F44/F20</f>
        <v>7.4062832466790823E-2</v>
      </c>
      <c r="G62" s="382"/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</row>
    <row r="63" spans="1:35" hidden="1">
      <c r="A63" s="19"/>
      <c r="B63" s="28"/>
      <c r="C63" s="494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>
        <f>P61*P20</f>
        <v>2373159.4507267941</v>
      </c>
      <c r="Q63" s="382">
        <f>Q61*Q20</f>
        <v>2442660.1666495409</v>
      </c>
      <c r="R63" s="382">
        <f>R61*R20</f>
        <v>2514212.0226979894</v>
      </c>
      <c r="S63" s="382">
        <f>S61*S20</f>
        <v>2587875.8754488709</v>
      </c>
      <c r="T63" s="382">
        <f>T61*T20</f>
        <v>2663714.3936236762</v>
      </c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</row>
    <row r="64" spans="1:35" hidden="1">
      <c r="A64" s="173"/>
      <c r="B64" s="495"/>
      <c r="C64" s="494"/>
      <c r="D64" s="382"/>
      <c r="E64" s="382"/>
      <c r="F64" s="382"/>
      <c r="G64" s="382"/>
      <c r="H64" s="382"/>
      <c r="I64" s="382"/>
      <c r="J64" s="382"/>
      <c r="K64" s="382"/>
      <c r="L64" s="382"/>
      <c r="M64" s="382"/>
      <c r="N64" s="382"/>
      <c r="O64" s="382"/>
      <c r="P64" s="382">
        <f>P10-P63</f>
        <v>315836.73825257877</v>
      </c>
      <c r="Q64" s="382">
        <f>Q10-Q63</f>
        <v>300115.94610941969</v>
      </c>
      <c r="R64" s="382">
        <f>R10-R63</f>
        <v>283419.61231615068</v>
      </c>
      <c r="S64" s="382">
        <f>S10-S63</f>
        <v>265708.39226555219</v>
      </c>
      <c r="T64" s="382">
        <f>T10-T63</f>
        <v>246941.55944503564</v>
      </c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</row>
    <row r="65" spans="2:33">
      <c r="B65" s="60"/>
      <c r="C65" s="382"/>
      <c r="D65" s="382"/>
      <c r="E65" s="382"/>
      <c r="F65" s="382"/>
      <c r="G65" s="382"/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</row>
    <row r="66" spans="2:33">
      <c r="B66" s="60"/>
      <c r="C66" s="382"/>
      <c r="D66" s="382"/>
      <c r="E66" s="382"/>
      <c r="F66" s="1100">
        <f>F27/F34</f>
        <v>1.4516343023325837</v>
      </c>
      <c r="G66" s="1100">
        <f t="shared" ref="G66:S66" ca="1" si="31">G27/G34</f>
        <v>1.431986926666899</v>
      </c>
      <c r="H66" s="1100">
        <f t="shared" ca="1" si="31"/>
        <v>1.4103876399343898</v>
      </c>
      <c r="I66" s="1100">
        <f t="shared" ca="1" si="31"/>
        <v>1.3867506350071148</v>
      </c>
      <c r="J66" s="1100">
        <f t="shared" ca="1" si="31"/>
        <v>1.3609869855473731</v>
      </c>
      <c r="K66" s="1100">
        <f t="shared" ca="1" si="31"/>
        <v>1.3330045415315006</v>
      </c>
      <c r="L66" s="1100">
        <f t="shared" ca="1" si="31"/>
        <v>1.3027078214213643</v>
      </c>
      <c r="M66" s="1100">
        <f t="shared" ca="1" si="31"/>
        <v>1.2699979008786617</v>
      </c>
      <c r="N66" s="1100">
        <f t="shared" ca="1" si="31"/>
        <v>1.234772297913832</v>
      </c>
      <c r="O66" s="1100">
        <f t="shared" ca="1" si="31"/>
        <v>1.1969248543580902</v>
      </c>
      <c r="P66" s="1100">
        <f t="shared" ca="1" si="31"/>
        <v>1.3206151171116411</v>
      </c>
      <c r="Q66" s="1100">
        <f t="shared" ca="1" si="31"/>
        <v>1.2771901976417486</v>
      </c>
      <c r="R66" s="1100">
        <f t="shared" ca="1" si="31"/>
        <v>1.2308016631280938</v>
      </c>
      <c r="S66" s="1100">
        <f t="shared" ca="1" si="31"/>
        <v>1.1813273877701702</v>
      </c>
      <c r="T66" s="1101">
        <f ca="1">T27/T34</f>
        <v>1.1286409176464782</v>
      </c>
      <c r="U66" s="1101">
        <f t="shared" ref="U66:Y66" ca="1" si="32">U27/U34</f>
        <v>1.0842515392241465</v>
      </c>
      <c r="V66" s="1101">
        <f t="shared" ca="1" si="32"/>
        <v>1.025092491457098</v>
      </c>
      <c r="W66" s="1101">
        <f t="shared" ca="1" si="32"/>
        <v>0.96232494037815841</v>
      </c>
      <c r="X66" s="1101">
        <f t="shared" ca="1" si="32"/>
        <v>0.89580395625039788</v>
      </c>
      <c r="Y66" s="1101">
        <f t="shared" ca="1" si="32"/>
        <v>0.82537952795202385</v>
      </c>
      <c r="Z66" s="382"/>
      <c r="AA66" s="382"/>
      <c r="AB66" s="382"/>
      <c r="AC66" s="382"/>
      <c r="AD66" s="382"/>
      <c r="AE66" s="382"/>
      <c r="AF66" s="382"/>
      <c r="AG66" s="382"/>
    </row>
    <row r="67" spans="2:33">
      <c r="B67" s="276"/>
      <c r="C67" s="494"/>
      <c r="F67" s="1100">
        <f>(F27+F23+F24+F25)/F34</f>
        <v>1.6816116073277385</v>
      </c>
      <c r="G67" s="1100">
        <f t="shared" ref="G67:Y67" ca="1" si="33">(G27+G23+G24+G25)/G34</f>
        <v>1.6639354657048695</v>
      </c>
      <c r="H67" s="1100">
        <f t="shared" ca="1" si="33"/>
        <v>1.6443665500364604</v>
      </c>
      <c r="I67" s="1100">
        <f t="shared" ca="1" si="33"/>
        <v>1.6228208273052087</v>
      </c>
      <c r="J67" s="1100">
        <f t="shared" ca="1" si="33"/>
        <v>1.5992111985073707</v>
      </c>
      <c r="K67" s="1100">
        <f t="shared" ca="1" si="33"/>
        <v>1.5734473957732591</v>
      </c>
      <c r="L67" s="1100">
        <f t="shared" ca="1" si="33"/>
        <v>1.5454358761833364</v>
      </c>
      <c r="M67" s="1100">
        <f t="shared" ca="1" si="33"/>
        <v>1.5150797121764539</v>
      </c>
      <c r="N67" s="1100">
        <f t="shared" ca="1" si="33"/>
        <v>1.482278478443519</v>
      </c>
      <c r="O67" s="1100">
        <f t="shared" ca="1" si="33"/>
        <v>1.4469281351966288</v>
      </c>
      <c r="P67" s="1100">
        <f t="shared" ca="1" si="33"/>
        <v>1.4089209077003289</v>
      </c>
      <c r="Q67" s="1100">
        <f t="shared" ca="1" si="33"/>
        <v>1.3681451619480969</v>
      </c>
      <c r="R67" s="1100">
        <f t="shared" ca="1" si="33"/>
        <v>1.3244852763636328</v>
      </c>
      <c r="S67" s="1100">
        <f t="shared" ca="1" si="33"/>
        <v>1.2778215094027752</v>
      </c>
      <c r="T67" s="1100">
        <f t="shared" ca="1" si="33"/>
        <v>1.2280298629280615</v>
      </c>
      <c r="U67" s="1100">
        <f t="shared" ca="1" si="33"/>
        <v>1.1749819412239657</v>
      </c>
      <c r="V67" s="1100">
        <f t="shared" ca="1" si="33"/>
        <v>1.1185448055169116</v>
      </c>
      <c r="W67" s="1100">
        <f t="shared" ca="1" si="33"/>
        <v>1.0585808238597667</v>
      </c>
      <c r="X67" s="1100">
        <f t="shared" ca="1" si="33"/>
        <v>0.99494751623645428</v>
      </c>
      <c r="Y67" s="1100">
        <f t="shared" ca="1" si="33"/>
        <v>0.9274973947376618</v>
      </c>
    </row>
    <row r="68" spans="2:33">
      <c r="C68" s="382"/>
    </row>
    <row r="69" spans="2:33">
      <c r="B69" s="60"/>
      <c r="C69" s="382"/>
    </row>
    <row r="70" spans="2:33">
      <c r="B70" s="60"/>
      <c r="C70" s="497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2:33">
      <c r="B71" s="60"/>
      <c r="C71" s="497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2:33">
      <c r="B72" s="60"/>
      <c r="C72" s="497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</row>
  </sheetData>
  <mergeCells count="1">
    <mergeCell ref="D6:E6"/>
  </mergeCells>
  <conditionalFormatting sqref="F27">
    <cfRule type="cellIs" dxfId="1" priority="3" operator="lessThan">
      <formula>0</formula>
    </cfRule>
  </conditionalFormatting>
  <conditionalFormatting sqref="G27:AI27">
    <cfRule type="cellIs" dxfId="0" priority="1" operator="lessThan">
      <formula>0</formula>
    </cfRule>
  </conditionalFormatting>
  <pageMargins left="0.5" right="0.5" top="0.5" bottom="0.4" header="0.3" footer="0.3"/>
  <pageSetup scale="67" fitToWidth="4" orientation="landscape" r:id="rId1"/>
  <headerFooter alignWithMargins="0">
    <oddFooter>&amp;R&amp;10&amp;P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 transitionEntry="1" published="0" codeName="Sheet9">
    <pageSetUpPr fitToPage="1"/>
  </sheetPr>
  <dimension ref="A1:R88"/>
  <sheetViews>
    <sheetView showGridLines="0" view="pageBreakPreview" zoomScale="80" zoomScaleNormal="80" zoomScaleSheetLayoutView="80" zoomScalePageLayoutView="80" workbookViewId="0">
      <selection activeCell="I41" sqref="I41"/>
    </sheetView>
  </sheetViews>
  <sheetFormatPr defaultColWidth="7.5546875" defaultRowHeight="15"/>
  <cols>
    <col min="1" max="1" width="2.83203125" style="114" customWidth="1"/>
    <col min="2" max="2" width="34.6640625" style="139" customWidth="1"/>
    <col min="3" max="3" width="10" style="139" customWidth="1"/>
    <col min="4" max="4" width="10.27734375" style="131" customWidth="1"/>
    <col min="5" max="5" width="7.0546875" style="131" customWidth="1"/>
    <col min="6" max="6" width="11.0546875" style="114" bestFit="1" customWidth="1"/>
    <col min="7" max="7" width="11.5546875" style="114" customWidth="1"/>
    <col min="8" max="8" width="12.83203125" style="114" customWidth="1"/>
    <col min="9" max="9" width="10.6640625" style="114" bestFit="1" customWidth="1"/>
    <col min="10" max="10" width="13.27734375" style="114" bestFit="1" customWidth="1"/>
    <col min="11" max="11" width="7.609375" style="114" bestFit="1" customWidth="1"/>
    <col min="12" max="16384" width="7.5546875" style="114"/>
  </cols>
  <sheetData>
    <row r="1" spans="1:5" ht="17.649999999999999">
      <c r="A1" s="44" t="str">
        <f>'Sources and Use'!A1</f>
        <v>MDG Design and Construction</v>
      </c>
      <c r="B1" s="44"/>
      <c r="C1" s="44"/>
      <c r="D1" s="44"/>
      <c r="E1" s="44"/>
    </row>
    <row r="2" spans="1:5" ht="17.649999999999999">
      <c r="A2" s="44" t="str">
        <f>'Sources and Use'!A2</f>
        <v>Virgin Islands: Piggy/Hamilton RAD</v>
      </c>
      <c r="B2" s="44"/>
      <c r="C2" s="44"/>
      <c r="D2" s="44"/>
      <c r="E2" s="44"/>
    </row>
    <row r="3" spans="1:5" ht="18" thickBot="1">
      <c r="A3" s="46" t="str">
        <f>'Sources and Use'!A3</f>
        <v>4% LIHTC and FEMA/CDBG-DR</v>
      </c>
      <c r="B3" s="46"/>
      <c r="C3" s="46"/>
      <c r="D3" s="46"/>
      <c r="E3" s="46"/>
    </row>
    <row r="4" spans="1:5">
      <c r="A4" s="48" t="s">
        <v>48</v>
      </c>
      <c r="B4" s="48"/>
      <c r="C4" s="48"/>
      <c r="D4" s="48"/>
      <c r="E4" s="48"/>
    </row>
    <row r="5" spans="1:5" s="119" customFormat="1">
      <c r="A5" s="115"/>
      <c r="B5" s="116"/>
      <c r="C5" s="116"/>
      <c r="D5" s="117"/>
      <c r="E5" s="118"/>
    </row>
    <row r="6" spans="1:5" s="119" customFormat="1">
      <c r="A6" s="181"/>
      <c r="B6" s="179"/>
      <c r="C6" s="179"/>
      <c r="D6" s="180"/>
      <c r="E6" s="180"/>
    </row>
    <row r="7" spans="1:5">
      <c r="B7" s="121" t="s">
        <v>385</v>
      </c>
      <c r="C7" s="120"/>
      <c r="D7" s="120"/>
      <c r="E7" s="120"/>
    </row>
    <row r="8" spans="1:5">
      <c r="A8" s="120"/>
      <c r="B8" s="723" t="s">
        <v>38</v>
      </c>
      <c r="C8" s="120"/>
      <c r="D8" s="724">
        <f ca="1">'Devel. Bud'!E92</f>
        <v>35354504</v>
      </c>
      <c r="E8" s="725"/>
    </row>
    <row r="9" spans="1:5">
      <c r="A9" s="120"/>
      <c r="B9" s="723" t="s">
        <v>50</v>
      </c>
      <c r="C9" s="120"/>
      <c r="D9" s="724">
        <f ca="1">D53</f>
        <v>45097216.410293311</v>
      </c>
      <c r="E9" s="120"/>
    </row>
    <row r="10" spans="1:5">
      <c r="A10" s="120"/>
      <c r="B10" s="723" t="s">
        <v>118</v>
      </c>
      <c r="C10" s="821">
        <v>0.95</v>
      </c>
      <c r="D10" s="724">
        <f ca="1">D9*C10</f>
        <v>42842355.589778647</v>
      </c>
      <c r="E10" s="623" t="s">
        <v>295</v>
      </c>
    </row>
    <row r="11" spans="1:5">
      <c r="A11" s="120"/>
      <c r="B11" s="723"/>
      <c r="C11" s="120"/>
      <c r="D11" s="724"/>
      <c r="E11" s="623"/>
    </row>
    <row r="12" spans="1:5">
      <c r="A12" s="120"/>
      <c r="B12" s="121" t="s">
        <v>386</v>
      </c>
      <c r="C12" s="120" t="s">
        <v>396</v>
      </c>
      <c r="D12" s="724"/>
      <c r="E12" s="623"/>
    </row>
    <row r="13" spans="1:5">
      <c r="A13" s="120"/>
      <c r="B13" s="723" t="s">
        <v>387</v>
      </c>
      <c r="C13" s="120"/>
      <c r="D13" s="382">
        <f>totalunits</f>
        <v>136</v>
      </c>
      <c r="E13" s="726">
        <f>D13/totalunits</f>
        <v>1</v>
      </c>
    </row>
    <row r="14" spans="1:5">
      <c r="A14" s="120"/>
      <c r="B14" s="723" t="s">
        <v>388</v>
      </c>
      <c r="C14" s="120"/>
      <c r="D14" s="724">
        <f ca="1">D10*E13</f>
        <v>42842355.589778647</v>
      </c>
      <c r="E14" s="623"/>
    </row>
    <row r="15" spans="1:5">
      <c r="A15" s="723"/>
      <c r="B15" s="723" t="s">
        <v>51</v>
      </c>
      <c r="C15" s="818">
        <v>0.04</v>
      </c>
      <c r="D15" s="727">
        <f ca="1">D14*C15</f>
        <v>1713694.2235911458</v>
      </c>
      <c r="E15" s="728"/>
    </row>
    <row r="16" spans="1:5">
      <c r="A16" s="723"/>
      <c r="B16" s="723" t="s">
        <v>389</v>
      </c>
      <c r="C16" s="819"/>
      <c r="D16" s="727"/>
      <c r="E16" s="730"/>
    </row>
    <row r="17" spans="1:18">
      <c r="A17" s="723"/>
      <c r="B17" s="723" t="s">
        <v>390</v>
      </c>
      <c r="C17" s="820"/>
      <c r="D17" s="727"/>
      <c r="E17" s="728"/>
      <c r="H17"/>
      <c r="I17"/>
      <c r="J17"/>
      <c r="K17"/>
      <c r="L17"/>
      <c r="M17"/>
    </row>
    <row r="18" spans="1:18">
      <c r="A18" s="723"/>
      <c r="B18" s="723" t="s">
        <v>391</v>
      </c>
      <c r="C18" s="500"/>
      <c r="D18" s="729">
        <f ca="1">D15</f>
        <v>1713694.2235911458</v>
      </c>
      <c r="E18" s="728"/>
      <c r="H18"/>
      <c r="I18"/>
      <c r="J18"/>
      <c r="K18"/>
      <c r="L18"/>
      <c r="M18"/>
    </row>
    <row r="19" spans="1:18">
      <c r="A19" s="731"/>
      <c r="B19" s="723" t="s">
        <v>52</v>
      </c>
      <c r="C19" s="822">
        <v>0.99990000000000001</v>
      </c>
      <c r="D19" s="724">
        <f ca="1">$C19*D18</f>
        <v>1713522.8541687867</v>
      </c>
      <c r="E19" s="120"/>
      <c r="H19"/>
      <c r="I19"/>
      <c r="J19"/>
      <c r="K19"/>
      <c r="L19"/>
      <c r="M19"/>
    </row>
    <row r="20" spans="1:18">
      <c r="A20" s="120"/>
      <c r="B20" s="723" t="s">
        <v>53</v>
      </c>
      <c r="C20" s="823">
        <v>0.8</v>
      </c>
      <c r="D20" s="727">
        <f ca="1">D19*$C20*10</f>
        <v>13708182.833350293</v>
      </c>
      <c r="E20" s="120"/>
      <c r="H20"/>
      <c r="I20"/>
      <c r="J20"/>
      <c r="K20"/>
      <c r="L20"/>
      <c r="M20"/>
      <c r="N20"/>
      <c r="O20"/>
      <c r="P20"/>
      <c r="Q20"/>
      <c r="R20"/>
    </row>
    <row r="21" spans="1:18">
      <c r="A21" s="120"/>
      <c r="B21" s="723"/>
      <c r="C21" s="120"/>
      <c r="D21" s="727"/>
      <c r="E21" s="120"/>
      <c r="H21"/>
      <c r="I21"/>
      <c r="J21"/>
      <c r="K21"/>
      <c r="L21"/>
      <c r="M21"/>
      <c r="N21"/>
      <c r="O21"/>
      <c r="P21"/>
      <c r="Q21"/>
      <c r="R21"/>
    </row>
    <row r="22" spans="1:18" hidden="1">
      <c r="A22" s="120"/>
      <c r="B22" s="121" t="s">
        <v>392</v>
      </c>
      <c r="C22" s="120" t="s">
        <v>397</v>
      </c>
      <c r="D22" s="727"/>
      <c r="E22" s="120"/>
      <c r="H22"/>
      <c r="I22"/>
      <c r="J22"/>
      <c r="K22"/>
      <c r="L22"/>
      <c r="M22"/>
      <c r="N22"/>
      <c r="O22"/>
      <c r="P22"/>
      <c r="Q22"/>
      <c r="R22"/>
    </row>
    <row r="23" spans="1:18" hidden="1">
      <c r="A23" s="120"/>
      <c r="B23" s="723" t="s">
        <v>393</v>
      </c>
      <c r="C23" s="120"/>
      <c r="D23" s="382">
        <f>totalunits-'Tax Credits'!D13</f>
        <v>0</v>
      </c>
      <c r="E23" s="726">
        <f>D23/totalunits</f>
        <v>0</v>
      </c>
      <c r="H23"/>
      <c r="I23"/>
      <c r="J23"/>
      <c r="K23"/>
      <c r="L23"/>
      <c r="M23"/>
    </row>
    <row r="24" spans="1:18" hidden="1">
      <c r="A24" s="120"/>
      <c r="B24" s="723" t="s">
        <v>394</v>
      </c>
      <c r="C24" s="120"/>
      <c r="D24" s="724">
        <f ca="1">D10-D14</f>
        <v>0</v>
      </c>
      <c r="E24" s="623"/>
      <c r="H24"/>
      <c r="I24"/>
      <c r="J24"/>
      <c r="K24"/>
      <c r="L24"/>
      <c r="M24"/>
    </row>
    <row r="25" spans="1:18" hidden="1">
      <c r="A25" s="120"/>
      <c r="B25" s="723" t="s">
        <v>51</v>
      </c>
      <c r="C25" s="818">
        <v>0.09</v>
      </c>
      <c r="D25" s="727">
        <f ca="1">D24*C25</f>
        <v>0</v>
      </c>
      <c r="E25" s="120"/>
    </row>
    <row r="26" spans="1:18" hidden="1">
      <c r="A26" s="120"/>
      <c r="B26" s="723" t="s">
        <v>395</v>
      </c>
      <c r="C26" s="120"/>
      <c r="D26" s="727">
        <v>3423248</v>
      </c>
      <c r="E26" s="120">
        <f ca="1">D25</f>
        <v>0</v>
      </c>
    </row>
    <row r="27" spans="1:18" hidden="1">
      <c r="A27" s="120"/>
      <c r="B27" s="723" t="s">
        <v>391</v>
      </c>
      <c r="C27" s="120"/>
      <c r="D27" s="727">
        <v>0</v>
      </c>
      <c r="E27" s="120" t="e">
        <f>D27/D23</f>
        <v>#DIV/0!</v>
      </c>
    </row>
    <row r="28" spans="1:18" hidden="1">
      <c r="A28" s="120"/>
      <c r="B28" s="723" t="s">
        <v>52</v>
      </c>
      <c r="C28" s="822">
        <v>0.99990000000000001</v>
      </c>
      <c r="D28" s="724">
        <f>$C28*D27</f>
        <v>0</v>
      </c>
      <c r="E28" s="120"/>
    </row>
    <row r="29" spans="1:18" hidden="1">
      <c r="A29" s="120"/>
      <c r="B29" s="723" t="s">
        <v>53</v>
      </c>
      <c r="C29" s="823">
        <v>0.8</v>
      </c>
      <c r="D29" s="727">
        <f>D28*$C29*10</f>
        <v>0</v>
      </c>
      <c r="E29" s="120"/>
    </row>
    <row r="30" spans="1:18" hidden="1">
      <c r="B30" s="120"/>
      <c r="C30" s="120"/>
      <c r="D30" s="120"/>
      <c r="E30" s="120"/>
    </row>
    <row r="31" spans="1:18" s="119" customFormat="1" hidden="1">
      <c r="A31" s="181"/>
      <c r="B31" s="179"/>
      <c r="C31" s="179"/>
      <c r="D31" s="180"/>
      <c r="E31" s="180"/>
    </row>
    <row r="32" spans="1:18" s="119" customFormat="1" hidden="1">
      <c r="A32" s="181"/>
      <c r="B32" s="179"/>
      <c r="C32" s="179"/>
      <c r="D32" s="180"/>
      <c r="E32" s="180"/>
    </row>
    <row r="33" spans="1:7" hidden="1">
      <c r="B33" s="120"/>
      <c r="C33" s="120"/>
      <c r="D33" s="120"/>
      <c r="E33" s="120"/>
    </row>
    <row r="34" spans="1:7">
      <c r="B34" s="121" t="s">
        <v>49</v>
      </c>
      <c r="C34" s="122"/>
      <c r="D34" s="122"/>
      <c r="E34" s="122"/>
    </row>
    <row r="35" spans="1:7">
      <c r="A35" s="122"/>
      <c r="B35" s="123" t="s">
        <v>54</v>
      </c>
      <c r="C35" s="124"/>
      <c r="D35" s="125">
        <f ca="1">D20+D29</f>
        <v>13708182.833350293</v>
      </c>
      <c r="E35" s="122"/>
      <c r="G35" s="226"/>
    </row>
    <row r="36" spans="1:7">
      <c r="A36" s="122"/>
      <c r="B36" s="123" t="s">
        <v>55</v>
      </c>
      <c r="C36" s="124"/>
      <c r="D36" s="124">
        <v>0</v>
      </c>
      <c r="E36" s="122"/>
    </row>
    <row r="37" spans="1:7">
      <c r="A37" s="122"/>
      <c r="B37" s="122"/>
      <c r="C37" s="126"/>
      <c r="D37" s="127"/>
      <c r="E37" s="122"/>
    </row>
    <row r="38" spans="1:7">
      <c r="A38" s="128" t="s">
        <v>158</v>
      </c>
      <c r="B38" s="120"/>
      <c r="C38" s="120"/>
      <c r="D38" s="120"/>
      <c r="E38" s="120"/>
    </row>
    <row r="39" spans="1:7">
      <c r="A39" s="120"/>
      <c r="B39" s="120" t="s">
        <v>159</v>
      </c>
      <c r="C39" s="120"/>
      <c r="D39" s="120">
        <f>'Devel. Bud'!E10</f>
        <v>2250000</v>
      </c>
      <c r="E39" s="120"/>
    </row>
    <row r="40" spans="1:7">
      <c r="A40" s="120"/>
      <c r="B40" s="120" t="s">
        <v>160</v>
      </c>
      <c r="C40" s="120"/>
      <c r="D40" s="120">
        <f>'Devel. Bud'!E31</f>
        <v>5000</v>
      </c>
      <c r="E40" s="120"/>
    </row>
    <row r="41" spans="1:7">
      <c r="A41" s="120"/>
      <c r="B41" s="120" t="s">
        <v>91</v>
      </c>
      <c r="C41" s="120"/>
      <c r="D41" s="120">
        <f ca="1">'Devel. Bud'!E32</f>
        <v>163500</v>
      </c>
      <c r="E41" s="120"/>
    </row>
    <row r="42" spans="1:7">
      <c r="A42" s="120"/>
      <c r="B42" s="120" t="s">
        <v>284</v>
      </c>
      <c r="C42" s="120"/>
      <c r="D42" s="120">
        <f>'Devel. Bud'!E33</f>
        <v>0</v>
      </c>
      <c r="E42" s="120"/>
    </row>
    <row r="43" spans="1:7">
      <c r="A43" s="120"/>
      <c r="B43" s="359" t="s">
        <v>161</v>
      </c>
      <c r="C43" s="359"/>
      <c r="D43" s="359">
        <f ca="1">SUM(D39:D42)</f>
        <v>2418500</v>
      </c>
      <c r="E43" s="120"/>
    </row>
    <row r="44" spans="1:7">
      <c r="A44" s="120"/>
      <c r="B44" s="120"/>
      <c r="C44" s="120"/>
      <c r="D44" s="120"/>
      <c r="E44" s="120"/>
    </row>
    <row r="45" spans="1:7">
      <c r="A45" s="128" t="s">
        <v>0</v>
      </c>
      <c r="B45" s="120"/>
      <c r="C45" s="120"/>
      <c r="D45" s="120"/>
      <c r="E45" s="120"/>
    </row>
    <row r="46" spans="1:7">
      <c r="A46" s="120"/>
      <c r="B46" s="120" t="s">
        <v>38</v>
      </c>
      <c r="C46" s="120"/>
      <c r="D46" s="120">
        <f ca="1">D8</f>
        <v>35354504</v>
      </c>
      <c r="E46" s="120"/>
    </row>
    <row r="47" spans="1:7">
      <c r="A47" s="120"/>
      <c r="B47" s="120" t="s">
        <v>1</v>
      </c>
      <c r="C47" s="120"/>
      <c r="D47" s="120"/>
      <c r="E47" s="120"/>
    </row>
    <row r="48" spans="1:7">
      <c r="A48" s="120"/>
      <c r="B48" s="129" t="s">
        <v>2</v>
      </c>
      <c r="C48" s="120"/>
      <c r="D48" s="120">
        <f ca="1">-D43</f>
        <v>-2418500</v>
      </c>
      <c r="E48" s="120"/>
    </row>
    <row r="49" spans="1:5">
      <c r="A49" s="120"/>
      <c r="B49" s="129" t="s">
        <v>3</v>
      </c>
      <c r="C49" s="120"/>
      <c r="D49" s="120">
        <f ca="1">-D68</f>
        <v>-460295.96568896342</v>
      </c>
      <c r="E49" s="120"/>
    </row>
    <row r="50" spans="1:5">
      <c r="A50" s="120"/>
      <c r="B50" s="129" t="s">
        <v>4</v>
      </c>
      <c r="C50" s="120"/>
      <c r="D50" s="120">
        <v>0</v>
      </c>
      <c r="E50" s="120"/>
    </row>
    <row r="51" spans="1:5">
      <c r="A51" s="120"/>
      <c r="B51" s="359" t="s">
        <v>50</v>
      </c>
      <c r="C51" s="359"/>
      <c r="D51" s="359">
        <f ca="1">SUM(D46:D50)</f>
        <v>32475708.034311038</v>
      </c>
      <c r="E51" s="120"/>
    </row>
    <row r="52" spans="1:5">
      <c r="A52" s="120"/>
      <c r="B52" s="120" t="s">
        <v>5</v>
      </c>
      <c r="C52" s="360">
        <v>0.3</v>
      </c>
      <c r="D52" s="120">
        <f ca="1">D51*30%</f>
        <v>9742712.4102933109</v>
      </c>
    </row>
    <row r="53" spans="1:5">
      <c r="A53" s="120"/>
      <c r="B53" s="359" t="s">
        <v>6</v>
      </c>
      <c r="C53" s="359"/>
      <c r="D53" s="359">
        <f ca="1">D52+D46</f>
        <v>45097216.410293311</v>
      </c>
      <c r="E53" s="120"/>
    </row>
    <row r="54" spans="1:5">
      <c r="A54" s="120"/>
      <c r="B54" s="623"/>
      <c r="C54" s="120"/>
      <c r="D54" s="120"/>
      <c r="E54" s="120"/>
    </row>
    <row r="55" spans="1:5">
      <c r="A55" s="132"/>
      <c r="B55" s="132"/>
      <c r="C55" s="132"/>
      <c r="D55" s="132"/>
      <c r="E55" s="133"/>
    </row>
    <row r="56" spans="1:5">
      <c r="A56" s="128" t="s">
        <v>7</v>
      </c>
      <c r="B56" s="120"/>
      <c r="C56" s="120"/>
      <c r="D56" s="120"/>
      <c r="E56" s="120"/>
    </row>
    <row r="57" spans="1:5">
      <c r="A57" s="120"/>
      <c r="B57" s="120" t="s">
        <v>8</v>
      </c>
      <c r="C57" s="120"/>
      <c r="D57" s="120">
        <f ca="1">'Devel. Bud'!D92</f>
        <v>41294173.562073581</v>
      </c>
      <c r="E57" s="120"/>
    </row>
    <row r="58" spans="1:5">
      <c r="A58" s="120"/>
      <c r="B58" s="120" t="s">
        <v>1</v>
      </c>
      <c r="C58" s="120"/>
      <c r="D58" s="120"/>
      <c r="E58" s="120"/>
    </row>
    <row r="59" spans="1:5">
      <c r="A59" s="120"/>
      <c r="B59" s="129" t="s">
        <v>82</v>
      </c>
      <c r="C59" s="120"/>
      <c r="D59" s="120">
        <f>-D39</f>
        <v>-2250000</v>
      </c>
      <c r="E59" s="120"/>
    </row>
    <row r="60" spans="1:5">
      <c r="A60" s="120"/>
      <c r="B60" s="129" t="s">
        <v>9</v>
      </c>
      <c r="C60" s="120"/>
      <c r="D60" s="120">
        <f>-'Devel. Bud'!E90</f>
        <v>-5000000</v>
      </c>
      <c r="E60" s="120"/>
    </row>
    <row r="61" spans="1:5">
      <c r="A61" s="120"/>
      <c r="B61" s="129" t="s">
        <v>10</v>
      </c>
      <c r="C61" s="120"/>
      <c r="D61" s="120">
        <f ca="1">-'Devel. Bud'!D86</f>
        <v>-2629480</v>
      </c>
      <c r="E61" s="120"/>
    </row>
    <row r="62" spans="1:5">
      <c r="A62" s="120"/>
      <c r="B62" s="129" t="s">
        <v>11</v>
      </c>
      <c r="C62" s="120"/>
      <c r="D62" s="120">
        <f>-'Devel. Bud'!D23</f>
        <v>-1150000</v>
      </c>
      <c r="E62" s="120"/>
    </row>
    <row r="63" spans="1:5">
      <c r="A63" s="120"/>
      <c r="B63" s="129" t="s">
        <v>41</v>
      </c>
      <c r="C63" s="120"/>
      <c r="D63" s="120">
        <v>0</v>
      </c>
      <c r="E63" s="120"/>
    </row>
    <row r="64" spans="1:5">
      <c r="A64" s="134"/>
      <c r="B64" s="129" t="s">
        <v>284</v>
      </c>
      <c r="C64" s="120"/>
      <c r="D64" s="120">
        <v>0</v>
      </c>
      <c r="E64" s="120"/>
    </row>
    <row r="65" spans="1:5">
      <c r="A65" s="134"/>
      <c r="B65" s="129" t="s">
        <v>4</v>
      </c>
      <c r="C65" s="120"/>
      <c r="D65" s="120">
        <v>0</v>
      </c>
      <c r="E65" s="120"/>
    </row>
    <row r="66" spans="1:5">
      <c r="A66" s="134"/>
      <c r="B66" s="359" t="s">
        <v>12</v>
      </c>
      <c r="C66" s="359"/>
      <c r="D66" s="359">
        <f ca="1">SUM(D57:D65)</f>
        <v>30264693.562073581</v>
      </c>
      <c r="E66" s="120"/>
    </row>
    <row r="67" spans="1:5">
      <c r="A67" s="134"/>
      <c r="B67" s="120" t="s">
        <v>13</v>
      </c>
      <c r="C67" s="130">
        <v>0.15</v>
      </c>
      <c r="D67" s="120">
        <f ca="1">MIN(D66*$C67,-D60)</f>
        <v>4539704.0343110366</v>
      </c>
    </row>
    <row r="68" spans="1:5">
      <c r="A68" s="134"/>
      <c r="B68" s="120" t="s">
        <v>14</v>
      </c>
      <c r="C68" s="120"/>
      <c r="D68" s="120">
        <f ca="1">-D60-D67</f>
        <v>460295.96568896342</v>
      </c>
      <c r="E68" s="120"/>
    </row>
    <row r="69" spans="1:5">
      <c r="A69" s="120"/>
      <c r="B69" s="120" t="s">
        <v>15</v>
      </c>
      <c r="C69" s="120"/>
      <c r="D69" s="120">
        <v>0</v>
      </c>
      <c r="E69" s="135"/>
    </row>
    <row r="70" spans="1:5">
      <c r="A70" s="120"/>
      <c r="B70" s="132" t="s">
        <v>16</v>
      </c>
      <c r="C70" s="132"/>
      <c r="D70" s="132">
        <v>0</v>
      </c>
      <c r="E70" s="132"/>
    </row>
    <row r="71" spans="1:5">
      <c r="A71" s="120"/>
      <c r="B71" s="120"/>
      <c r="C71" s="120"/>
      <c r="D71" s="120"/>
      <c r="E71" s="120"/>
    </row>
    <row r="72" spans="1:5">
      <c r="A72" s="120"/>
      <c r="B72" s="120"/>
      <c r="C72" s="120"/>
      <c r="D72" s="120"/>
      <c r="E72" s="120"/>
    </row>
    <row r="73" spans="1:5">
      <c r="B73" s="120"/>
      <c r="C73" s="120"/>
      <c r="D73" s="120"/>
      <c r="E73" s="120"/>
    </row>
    <row r="74" spans="1:5">
      <c r="B74" s="120"/>
      <c r="C74" s="120"/>
      <c r="D74" s="120"/>
      <c r="E74" s="120"/>
    </row>
    <row r="75" spans="1:5">
      <c r="B75" s="114"/>
      <c r="C75" s="114"/>
      <c r="D75" s="114"/>
      <c r="E75" s="114"/>
    </row>
    <row r="76" spans="1:5">
      <c r="B76" s="114"/>
      <c r="C76" s="114"/>
      <c r="D76" s="114"/>
      <c r="E76" s="114"/>
    </row>
    <row r="77" spans="1:5">
      <c r="B77" s="114"/>
      <c r="C77" s="114"/>
      <c r="D77" s="114"/>
      <c r="E77" s="114"/>
    </row>
    <row r="78" spans="1:5">
      <c r="B78" s="114"/>
      <c r="C78" s="114"/>
      <c r="D78" s="114"/>
      <c r="E78" s="114"/>
    </row>
    <row r="79" spans="1:5">
      <c r="B79" s="136"/>
      <c r="C79" s="137"/>
      <c r="D79" s="138"/>
      <c r="E79" s="138"/>
    </row>
    <row r="80" spans="1:5">
      <c r="B80" s="136"/>
      <c r="C80" s="136"/>
      <c r="D80" s="138"/>
      <c r="E80" s="138"/>
    </row>
    <row r="81" spans="2:5">
      <c r="B81" s="136"/>
      <c r="C81" s="136"/>
      <c r="D81" s="138"/>
      <c r="E81" s="138"/>
    </row>
    <row r="82" spans="2:5">
      <c r="B82" s="136"/>
      <c r="C82" s="136"/>
      <c r="D82" s="138"/>
      <c r="E82" s="138"/>
    </row>
    <row r="83" spans="2:5">
      <c r="B83" s="136"/>
      <c r="C83" s="136"/>
      <c r="D83" s="138"/>
      <c r="E83" s="138"/>
    </row>
    <row r="84" spans="2:5">
      <c r="B84" s="136"/>
      <c r="C84" s="136"/>
      <c r="D84" s="138"/>
      <c r="E84" s="138"/>
    </row>
    <row r="85" spans="2:5">
      <c r="B85" s="136"/>
      <c r="C85" s="136"/>
      <c r="D85" s="138"/>
      <c r="E85" s="138"/>
    </row>
    <row r="86" spans="2:5">
      <c r="B86" s="136"/>
      <c r="C86" s="136"/>
      <c r="D86" s="138"/>
      <c r="E86" s="138"/>
    </row>
    <row r="87" spans="2:5">
      <c r="B87" s="136"/>
      <c r="C87" s="136"/>
      <c r="D87" s="138"/>
      <c r="E87" s="138"/>
    </row>
    <row r="88" spans="2:5">
      <c r="B88" s="136"/>
      <c r="C88" s="136"/>
      <c r="D88" s="138"/>
      <c r="E88" s="138"/>
    </row>
  </sheetData>
  <pageMargins left="0.5" right="0.5" top="0.5" bottom="0.4" header="0.3" footer="0.3"/>
  <pageSetup scale="84" orientation="portrait" r:id="rId1"/>
  <headerFooter alignWithMargins="0">
    <oddFooter>&amp;R&amp;10&amp;P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F52F2-08DB-4485-A802-F8B40427E45C}">
  <sheetPr published="0">
    <pageSetUpPr fitToPage="1"/>
  </sheetPr>
  <dimension ref="B1:V64"/>
  <sheetViews>
    <sheetView view="pageBreakPreview" zoomScale="80" zoomScaleNormal="100" zoomScaleSheetLayoutView="80" workbookViewId="0">
      <selection activeCell="I41" sqref="I41"/>
    </sheetView>
  </sheetViews>
  <sheetFormatPr defaultColWidth="9.21875" defaultRowHeight="15"/>
  <cols>
    <col min="1" max="1" width="1.77734375" style="883" customWidth="1"/>
    <col min="2" max="2" width="22.609375" style="883" customWidth="1"/>
    <col min="3" max="3" width="5.44140625" style="883" customWidth="1"/>
    <col min="4" max="5" width="7.6640625" style="883" customWidth="1"/>
    <col min="6" max="6" width="6.83203125" style="883" customWidth="1"/>
    <col min="7" max="7" width="9.21875" style="883"/>
    <col min="8" max="8" width="29.6640625" style="883" hidden="1" customWidth="1"/>
    <col min="9" max="9" width="12.83203125" style="883" customWidth="1"/>
    <col min="10" max="10" width="12.21875" style="883" customWidth="1"/>
    <col min="11" max="11" width="9.0546875" style="883" customWidth="1"/>
    <col min="12" max="12" width="5.77734375" style="883" customWidth="1"/>
    <col min="13" max="13" width="11.27734375" style="883" customWidth="1"/>
    <col min="14" max="14" width="13.83203125" style="883" bestFit="1" customWidth="1"/>
    <col min="15" max="15" width="10.6640625" style="883" customWidth="1"/>
    <col min="16" max="16" width="13.44140625" style="883" bestFit="1" customWidth="1"/>
    <col min="17" max="17" width="12.44140625" style="883" bestFit="1" customWidth="1"/>
    <col min="18" max="18" width="6.0546875" style="883" customWidth="1"/>
    <col min="19" max="19" width="8.94140625" style="883" bestFit="1" customWidth="1"/>
    <col min="20" max="20" width="12" style="883" bestFit="1" customWidth="1"/>
    <col min="21" max="21" width="9.94140625" style="883" bestFit="1" customWidth="1"/>
    <col min="22" max="22" width="10.609375" style="883" customWidth="1"/>
    <col min="23" max="16384" width="9.21875" style="883"/>
  </cols>
  <sheetData>
    <row r="1" spans="2:22" ht="12.4" customHeight="1"/>
    <row r="2" spans="2:22" s="879" customFormat="1" ht="17.649999999999999">
      <c r="B2" s="879" t="str">
        <f>'Sources and Use'!A1</f>
        <v>MDG Design and Construction</v>
      </c>
    </row>
    <row r="3" spans="2:22" s="879" customFormat="1" ht="17.649999999999999">
      <c r="B3" s="879" t="str">
        <f>'Sources and Use'!A2</f>
        <v>Virgin Islands: Piggy/Hamilton RAD</v>
      </c>
    </row>
    <row r="4" spans="2:22" s="878" customFormat="1" ht="18" thickBot="1">
      <c r="B4" s="879" t="str">
        <f>'Sources and Use'!A3</f>
        <v>4% LIHTC and FEMA/CDBG-DR</v>
      </c>
    </row>
    <row r="5" spans="2:22" s="884" customFormat="1">
      <c r="B5" s="884" t="s">
        <v>525</v>
      </c>
    </row>
    <row r="6" spans="2:22" ht="15.4" thickBot="1">
      <c r="M6" s="885" t="s">
        <v>38</v>
      </c>
      <c r="N6" s="885" t="s">
        <v>526</v>
      </c>
      <c r="O6" s="885" t="s">
        <v>527</v>
      </c>
      <c r="P6" s="885" t="s">
        <v>528</v>
      </c>
    </row>
    <row r="7" spans="2:22">
      <c r="B7" s="1134" t="s">
        <v>529</v>
      </c>
      <c r="C7" s="1131" t="s">
        <v>166</v>
      </c>
      <c r="D7" s="1131" t="s">
        <v>530</v>
      </c>
      <c r="E7" s="886"/>
      <c r="F7" s="1131" t="s">
        <v>531</v>
      </c>
      <c r="G7" s="1131" t="s">
        <v>532</v>
      </c>
      <c r="H7" s="1131" t="s">
        <v>533</v>
      </c>
      <c r="I7" s="1131" t="s">
        <v>534</v>
      </c>
      <c r="J7" s="1131" t="s">
        <v>535</v>
      </c>
      <c r="K7" s="1131"/>
      <c r="L7" s="887"/>
      <c r="M7" s="888">
        <f ca="1">'Tax Credits'!D14</f>
        <v>42842355.589778647</v>
      </c>
      <c r="N7" s="888">
        <f ca="1">'Tax Credits'!D18</f>
        <v>1713694.2235911458</v>
      </c>
      <c r="O7" s="888">
        <f>'Devel. Bud'!D17</f>
        <v>20675143</v>
      </c>
      <c r="P7" s="888">
        <f>O7-K11</f>
        <v>18875143</v>
      </c>
      <c r="U7" s="889"/>
      <c r="V7" s="889"/>
    </row>
    <row r="8" spans="2:22" ht="28.5">
      <c r="B8" s="1135"/>
      <c r="C8" s="1132"/>
      <c r="D8" s="1132"/>
      <c r="E8" s="890" t="s">
        <v>536</v>
      </c>
      <c r="F8" s="1132"/>
      <c r="G8" s="1132"/>
      <c r="H8" s="1132"/>
      <c r="I8" s="1132"/>
      <c r="J8" s="1132"/>
      <c r="K8" s="1132"/>
      <c r="L8" s="891"/>
      <c r="M8" s="892"/>
      <c r="U8" s="889"/>
      <c r="V8" s="889"/>
    </row>
    <row r="9" spans="2:22">
      <c r="B9" s="1135"/>
      <c r="C9" s="1132"/>
      <c r="D9" s="1132"/>
      <c r="E9" s="890"/>
      <c r="F9" s="1132"/>
      <c r="G9" s="1132"/>
      <c r="H9" s="1132"/>
      <c r="I9" s="1132"/>
      <c r="J9" s="1132"/>
      <c r="K9" s="1132"/>
      <c r="L9" s="891"/>
      <c r="M9" s="893" t="s">
        <v>537</v>
      </c>
      <c r="N9" s="894"/>
      <c r="O9" s="894"/>
      <c r="P9" s="889"/>
      <c r="Q9" s="889"/>
      <c r="R9" s="889"/>
      <c r="S9" s="889" t="s">
        <v>538</v>
      </c>
      <c r="T9" s="889"/>
      <c r="U9" s="889"/>
      <c r="V9" s="889"/>
    </row>
    <row r="10" spans="2:22" ht="15.4" thickBot="1">
      <c r="B10" s="1136"/>
      <c r="C10" s="1133"/>
      <c r="D10" s="1133"/>
      <c r="E10" s="895"/>
      <c r="F10" s="1133"/>
      <c r="G10" s="1133"/>
      <c r="H10" s="1133"/>
      <c r="I10" s="1133"/>
      <c r="J10" s="1133"/>
      <c r="K10" s="1133"/>
      <c r="L10" s="891"/>
      <c r="M10" s="896">
        <v>2021</v>
      </c>
      <c r="N10" s="896">
        <v>2022</v>
      </c>
      <c r="O10" s="896">
        <v>2023</v>
      </c>
      <c r="P10" s="897" t="s">
        <v>539</v>
      </c>
      <c r="Q10" s="897" t="s">
        <v>540</v>
      </c>
      <c r="S10" s="897">
        <f>M10</f>
        <v>2021</v>
      </c>
      <c r="T10" s="897">
        <f>N10</f>
        <v>2022</v>
      </c>
      <c r="U10" s="897">
        <f>O10</f>
        <v>2023</v>
      </c>
      <c r="V10" s="897">
        <v>2024</v>
      </c>
    </row>
    <row r="11" spans="2:22" ht="17.649999999999999" customHeight="1" thickBot="1">
      <c r="B11" s="898" t="s">
        <v>541</v>
      </c>
      <c r="C11" s="899"/>
      <c r="D11" s="899"/>
      <c r="E11" s="899"/>
      <c r="F11" s="899"/>
      <c r="G11" s="900"/>
      <c r="H11" s="899"/>
      <c r="I11" s="899"/>
      <c r="J11" s="901">
        <v>45078</v>
      </c>
      <c r="K11" s="902">
        <v>1800000</v>
      </c>
      <c r="L11" s="903"/>
      <c r="M11" s="904">
        <v>0</v>
      </c>
      <c r="N11" s="905">
        <v>0</v>
      </c>
      <c r="O11" s="906">
        <v>7</v>
      </c>
      <c r="P11" s="907">
        <f>K11/O7</f>
        <v>8.7061066518379096E-2</v>
      </c>
      <c r="Q11" s="908">
        <f t="shared" ref="Q11:Q38" ca="1" si="0">P11*N$7</f>
        <v>149196.04679223077</v>
      </c>
      <c r="R11" s="909"/>
      <c r="S11" s="910">
        <f t="shared" ref="S11:U30" ca="1" si="1">M11/12*$Q11</f>
        <v>0</v>
      </c>
      <c r="T11" s="911">
        <f t="shared" ca="1" si="1"/>
        <v>0</v>
      </c>
      <c r="U11" s="911">
        <f t="shared" ca="1" si="1"/>
        <v>87031.027295467953</v>
      </c>
      <c r="V11" s="912">
        <f ca="1">Q11</f>
        <v>149196.04679223077</v>
      </c>
    </row>
    <row r="12" spans="2:22" ht="15.4" thickBot="1">
      <c r="B12" s="913" t="s">
        <v>542</v>
      </c>
      <c r="C12" s="899">
        <v>8</v>
      </c>
      <c r="D12" s="899">
        <v>8</v>
      </c>
      <c r="E12" s="914">
        <f t="shared" ref="E12:E30" si="2">D12/C12</f>
        <v>1</v>
      </c>
      <c r="F12" s="915">
        <v>3</v>
      </c>
      <c r="G12" s="913" t="s">
        <v>543</v>
      </c>
      <c r="H12" s="899"/>
      <c r="I12" s="916">
        <v>44440</v>
      </c>
      <c r="J12" s="916">
        <v>44531</v>
      </c>
      <c r="K12" s="899"/>
      <c r="L12" s="887"/>
      <c r="M12" s="906">
        <v>0</v>
      </c>
      <c r="N12" s="917">
        <v>12</v>
      </c>
      <c r="O12" s="906">
        <v>12</v>
      </c>
      <c r="P12" s="918">
        <f t="shared" ref="P12:P38" si="3">C12/C$39*(1-P$11)</f>
        <v>5.3702290204801231E-2</v>
      </c>
      <c r="Q12" s="919">
        <f t="shared" ca="1" si="0"/>
        <v>92029.304517583238</v>
      </c>
      <c r="R12" s="909"/>
      <c r="S12" s="920">
        <f t="shared" ca="1" si="1"/>
        <v>0</v>
      </c>
      <c r="T12" s="921">
        <f t="shared" ca="1" si="1"/>
        <v>92029.304517583238</v>
      </c>
      <c r="U12" s="921">
        <f t="shared" ca="1" si="1"/>
        <v>92029.304517583238</v>
      </c>
      <c r="V12" s="922">
        <f t="shared" ref="V12:V38" ca="1" si="4">Q12</f>
        <v>92029.304517583238</v>
      </c>
    </row>
    <row r="13" spans="2:22" ht="15.4" thickBot="1">
      <c r="B13" s="913" t="s">
        <v>544</v>
      </c>
      <c r="C13" s="899">
        <v>8</v>
      </c>
      <c r="D13" s="899">
        <v>7</v>
      </c>
      <c r="E13" s="914">
        <f t="shared" si="2"/>
        <v>0.875</v>
      </c>
      <c r="F13" s="923">
        <v>3</v>
      </c>
      <c r="G13" s="913" t="s">
        <v>543</v>
      </c>
      <c r="H13" s="899"/>
      <c r="I13" s="916">
        <v>44440</v>
      </c>
      <c r="J13" s="916">
        <v>44531</v>
      </c>
      <c r="K13" s="899"/>
      <c r="L13" s="887"/>
      <c r="M13" s="906">
        <v>0</v>
      </c>
      <c r="N13" s="917">
        <v>12</v>
      </c>
      <c r="O13" s="906">
        <v>12</v>
      </c>
      <c r="P13" s="918">
        <f t="shared" si="3"/>
        <v>5.3702290204801231E-2</v>
      </c>
      <c r="Q13" s="919">
        <f t="shared" ca="1" si="0"/>
        <v>92029.304517583238</v>
      </c>
      <c r="R13" s="909"/>
      <c r="S13" s="920">
        <f t="shared" ca="1" si="1"/>
        <v>0</v>
      </c>
      <c r="T13" s="921">
        <f t="shared" ca="1" si="1"/>
        <v>92029.304517583238</v>
      </c>
      <c r="U13" s="921">
        <f t="shared" ca="1" si="1"/>
        <v>92029.304517583238</v>
      </c>
      <c r="V13" s="922">
        <f t="shared" ca="1" si="4"/>
        <v>92029.304517583238</v>
      </c>
    </row>
    <row r="14" spans="2:22" ht="15.4" thickBot="1">
      <c r="B14" s="913" t="s">
        <v>545</v>
      </c>
      <c r="C14" s="899">
        <v>8</v>
      </c>
      <c r="D14" s="899">
        <v>8</v>
      </c>
      <c r="E14" s="914">
        <f t="shared" si="2"/>
        <v>1</v>
      </c>
      <c r="F14" s="923">
        <v>2</v>
      </c>
      <c r="G14" s="913" t="s">
        <v>543</v>
      </c>
      <c r="H14" s="899"/>
      <c r="I14" s="916">
        <v>44440</v>
      </c>
      <c r="J14" s="916">
        <v>44531</v>
      </c>
      <c r="K14" s="899"/>
      <c r="L14" s="887"/>
      <c r="M14" s="906">
        <v>0</v>
      </c>
      <c r="N14" s="917">
        <v>12</v>
      </c>
      <c r="O14" s="906">
        <v>12</v>
      </c>
      <c r="P14" s="918">
        <f t="shared" si="3"/>
        <v>5.3702290204801231E-2</v>
      </c>
      <c r="Q14" s="919">
        <f t="shared" ca="1" si="0"/>
        <v>92029.304517583238</v>
      </c>
      <c r="R14" s="909"/>
      <c r="S14" s="920">
        <f t="shared" ca="1" si="1"/>
        <v>0</v>
      </c>
      <c r="T14" s="921">
        <f t="shared" ca="1" si="1"/>
        <v>92029.304517583238</v>
      </c>
      <c r="U14" s="921">
        <f t="shared" ca="1" si="1"/>
        <v>92029.304517583238</v>
      </c>
      <c r="V14" s="922">
        <f t="shared" ca="1" si="4"/>
        <v>92029.304517583238</v>
      </c>
    </row>
    <row r="15" spans="2:22" ht="15.4" thickBot="1">
      <c r="B15" s="924" t="s">
        <v>546</v>
      </c>
      <c r="C15" s="899">
        <v>8</v>
      </c>
      <c r="D15" s="899">
        <v>8</v>
      </c>
      <c r="E15" s="914">
        <f t="shared" si="2"/>
        <v>1</v>
      </c>
      <c r="F15" s="915">
        <v>3</v>
      </c>
      <c r="G15" s="924" t="s">
        <v>547</v>
      </c>
      <c r="H15" s="899"/>
      <c r="I15" s="916">
        <v>44531</v>
      </c>
      <c r="J15" s="916">
        <v>44621</v>
      </c>
      <c r="K15" s="899"/>
      <c r="L15" s="887"/>
      <c r="M15" s="906">
        <v>0</v>
      </c>
      <c r="N15" s="906">
        <v>10</v>
      </c>
      <c r="O15" s="906">
        <v>12</v>
      </c>
      <c r="P15" s="918">
        <f>C15/C$39*(1-P$11)</f>
        <v>5.3702290204801231E-2</v>
      </c>
      <c r="Q15" s="919">
        <f t="shared" ca="1" si="0"/>
        <v>92029.304517583238</v>
      </c>
      <c r="R15" s="909"/>
      <c r="S15" s="920">
        <f t="shared" ca="1" si="1"/>
        <v>0</v>
      </c>
      <c r="T15" s="921">
        <f t="shared" ca="1" si="1"/>
        <v>76691.087097986034</v>
      </c>
      <c r="U15" s="921">
        <f t="shared" ca="1" si="1"/>
        <v>92029.304517583238</v>
      </c>
      <c r="V15" s="922">
        <f t="shared" ca="1" si="4"/>
        <v>92029.304517583238</v>
      </c>
    </row>
    <row r="16" spans="2:22" ht="15.4" thickBot="1">
      <c r="B16" s="924" t="s">
        <v>548</v>
      </c>
      <c r="C16" s="899">
        <v>6</v>
      </c>
      <c r="D16" s="899">
        <v>5</v>
      </c>
      <c r="E16" s="914">
        <f t="shared" si="2"/>
        <v>0.83333333333333337</v>
      </c>
      <c r="F16" s="915">
        <v>4</v>
      </c>
      <c r="G16" s="924" t="s">
        <v>547</v>
      </c>
      <c r="H16" s="899"/>
      <c r="I16" s="916">
        <v>44531</v>
      </c>
      <c r="J16" s="916">
        <v>44621</v>
      </c>
      <c r="K16" s="899"/>
      <c r="L16" s="887"/>
      <c r="M16" s="906">
        <v>0</v>
      </c>
      <c r="N16" s="906">
        <v>10</v>
      </c>
      <c r="O16" s="906">
        <v>12</v>
      </c>
      <c r="P16" s="918">
        <f t="shared" si="3"/>
        <v>4.0276717653600927E-2</v>
      </c>
      <c r="Q16" s="919">
        <f t="shared" ca="1" si="0"/>
        <v>69021.978388187432</v>
      </c>
      <c r="R16" s="909"/>
      <c r="S16" s="920">
        <f t="shared" ca="1" si="1"/>
        <v>0</v>
      </c>
      <c r="T16" s="921">
        <f t="shared" ca="1" si="1"/>
        <v>57518.315323489529</v>
      </c>
      <c r="U16" s="921">
        <f t="shared" ca="1" si="1"/>
        <v>69021.978388187432</v>
      </c>
      <c r="V16" s="922">
        <f t="shared" ca="1" si="4"/>
        <v>69021.978388187432</v>
      </c>
    </row>
    <row r="17" spans="2:22" ht="15.4" thickBot="1">
      <c r="B17" s="924" t="s">
        <v>549</v>
      </c>
      <c r="C17" s="899">
        <v>8</v>
      </c>
      <c r="D17" s="899">
        <v>8</v>
      </c>
      <c r="E17" s="914">
        <f t="shared" si="2"/>
        <v>1</v>
      </c>
      <c r="F17" s="923">
        <v>1</v>
      </c>
      <c r="G17" s="924" t="s">
        <v>547</v>
      </c>
      <c r="H17" s="899"/>
      <c r="I17" s="916">
        <v>44531</v>
      </c>
      <c r="J17" s="916">
        <v>44621</v>
      </c>
      <c r="K17" s="899"/>
      <c r="L17" s="887"/>
      <c r="M17" s="906">
        <v>0</v>
      </c>
      <c r="N17" s="906">
        <v>10</v>
      </c>
      <c r="O17" s="906">
        <v>12</v>
      </c>
      <c r="P17" s="918">
        <f t="shared" si="3"/>
        <v>5.3702290204801231E-2</v>
      </c>
      <c r="Q17" s="919">
        <f t="shared" ca="1" si="0"/>
        <v>92029.304517583238</v>
      </c>
      <c r="R17" s="909"/>
      <c r="S17" s="920">
        <f t="shared" ca="1" si="1"/>
        <v>0</v>
      </c>
      <c r="T17" s="921">
        <f t="shared" ca="1" si="1"/>
        <v>76691.087097986034</v>
      </c>
      <c r="U17" s="921">
        <f t="shared" ca="1" si="1"/>
        <v>92029.304517583238</v>
      </c>
      <c r="V17" s="922">
        <f t="shared" ca="1" si="4"/>
        <v>92029.304517583238</v>
      </c>
    </row>
    <row r="18" spans="2:22" ht="15.4" thickBot="1">
      <c r="B18" s="925" t="s">
        <v>550</v>
      </c>
      <c r="C18" s="899">
        <v>8</v>
      </c>
      <c r="D18" s="899">
        <v>8</v>
      </c>
      <c r="E18" s="914">
        <f t="shared" si="2"/>
        <v>1</v>
      </c>
      <c r="F18" s="923">
        <v>1</v>
      </c>
      <c r="G18" s="925" t="s">
        <v>551</v>
      </c>
      <c r="H18" s="899"/>
      <c r="I18" s="916">
        <v>44743</v>
      </c>
      <c r="J18" s="916">
        <v>44896</v>
      </c>
      <c r="K18" s="899"/>
      <c r="L18" s="887"/>
      <c r="M18" s="906">
        <v>0</v>
      </c>
      <c r="N18" s="906">
        <v>7</v>
      </c>
      <c r="O18" s="906">
        <v>10</v>
      </c>
      <c r="P18" s="918">
        <f t="shared" si="3"/>
        <v>5.3702290204801231E-2</v>
      </c>
      <c r="Q18" s="919">
        <f t="shared" ca="1" si="0"/>
        <v>92029.304517583238</v>
      </c>
      <c r="R18" s="909"/>
      <c r="S18" s="920">
        <f t="shared" ca="1" si="1"/>
        <v>0</v>
      </c>
      <c r="T18" s="921">
        <f t="shared" ca="1" si="1"/>
        <v>53683.760968590228</v>
      </c>
      <c r="U18" s="921">
        <f t="shared" ca="1" si="1"/>
        <v>76691.087097986034</v>
      </c>
      <c r="V18" s="922">
        <f t="shared" ca="1" si="4"/>
        <v>92029.304517583238</v>
      </c>
    </row>
    <row r="19" spans="2:22" ht="15.4" thickBot="1">
      <c r="B19" s="925" t="s">
        <v>552</v>
      </c>
      <c r="C19" s="899">
        <v>8</v>
      </c>
      <c r="D19" s="899">
        <v>7</v>
      </c>
      <c r="E19" s="914">
        <f t="shared" si="2"/>
        <v>0.875</v>
      </c>
      <c r="F19" s="915">
        <v>2</v>
      </c>
      <c r="G19" s="925" t="s">
        <v>551</v>
      </c>
      <c r="H19" s="899"/>
      <c r="I19" s="916">
        <v>44743</v>
      </c>
      <c r="J19" s="916">
        <v>44896</v>
      </c>
      <c r="K19" s="899"/>
      <c r="L19" s="887"/>
      <c r="M19" s="906">
        <v>0</v>
      </c>
      <c r="N19" s="906">
        <v>7</v>
      </c>
      <c r="O19" s="906">
        <v>10</v>
      </c>
      <c r="P19" s="918">
        <f t="shared" si="3"/>
        <v>5.3702290204801231E-2</v>
      </c>
      <c r="Q19" s="919">
        <f t="shared" ca="1" si="0"/>
        <v>92029.304517583238</v>
      </c>
      <c r="R19" s="909"/>
      <c r="S19" s="920">
        <f t="shared" ca="1" si="1"/>
        <v>0</v>
      </c>
      <c r="T19" s="921">
        <f t="shared" ca="1" si="1"/>
        <v>53683.760968590228</v>
      </c>
      <c r="U19" s="921">
        <f t="shared" ca="1" si="1"/>
        <v>76691.087097986034</v>
      </c>
      <c r="V19" s="922">
        <f t="shared" ca="1" si="4"/>
        <v>92029.304517583238</v>
      </c>
    </row>
    <row r="20" spans="2:22" ht="15.4" thickBot="1">
      <c r="B20" s="925" t="s">
        <v>553</v>
      </c>
      <c r="C20" s="899">
        <v>8</v>
      </c>
      <c r="D20" s="899">
        <v>8</v>
      </c>
      <c r="E20" s="914">
        <f t="shared" si="2"/>
        <v>1</v>
      </c>
      <c r="F20" s="915">
        <v>2</v>
      </c>
      <c r="G20" s="925" t="s">
        <v>551</v>
      </c>
      <c r="H20" s="899"/>
      <c r="I20" s="916">
        <v>44743</v>
      </c>
      <c r="J20" s="916">
        <v>44896</v>
      </c>
      <c r="K20" s="899"/>
      <c r="L20" s="887"/>
      <c r="M20" s="906">
        <v>0</v>
      </c>
      <c r="N20" s="906">
        <v>7</v>
      </c>
      <c r="O20" s="906">
        <v>10</v>
      </c>
      <c r="P20" s="918">
        <f t="shared" si="3"/>
        <v>5.3702290204801231E-2</v>
      </c>
      <c r="Q20" s="919">
        <f t="shared" ca="1" si="0"/>
        <v>92029.304517583238</v>
      </c>
      <c r="R20" s="909"/>
      <c r="S20" s="920">
        <f t="shared" ca="1" si="1"/>
        <v>0</v>
      </c>
      <c r="T20" s="921">
        <f t="shared" ca="1" si="1"/>
        <v>53683.760968590228</v>
      </c>
      <c r="U20" s="921">
        <f t="shared" ca="1" si="1"/>
        <v>76691.087097986034</v>
      </c>
      <c r="V20" s="922">
        <f t="shared" ca="1" si="4"/>
        <v>92029.304517583238</v>
      </c>
    </row>
    <row r="21" spans="2:22" ht="15.4" thickBot="1">
      <c r="B21" s="925" t="s">
        <v>554</v>
      </c>
      <c r="C21" s="899">
        <v>8</v>
      </c>
      <c r="D21" s="899">
        <v>8</v>
      </c>
      <c r="E21" s="914">
        <f t="shared" si="2"/>
        <v>1</v>
      </c>
      <c r="F21" s="915">
        <v>1</v>
      </c>
      <c r="G21" s="925" t="s">
        <v>551</v>
      </c>
      <c r="H21" s="899"/>
      <c r="I21" s="916">
        <v>44743</v>
      </c>
      <c r="J21" s="916">
        <v>44896</v>
      </c>
      <c r="K21" s="899"/>
      <c r="L21" s="887"/>
      <c r="M21" s="906">
        <v>0</v>
      </c>
      <c r="N21" s="906">
        <v>7</v>
      </c>
      <c r="O21" s="906">
        <v>12</v>
      </c>
      <c r="P21" s="918">
        <f t="shared" si="3"/>
        <v>5.3702290204801231E-2</v>
      </c>
      <c r="Q21" s="919">
        <f t="shared" ca="1" si="0"/>
        <v>92029.304517583238</v>
      </c>
      <c r="R21" s="909"/>
      <c r="S21" s="920">
        <f t="shared" ca="1" si="1"/>
        <v>0</v>
      </c>
      <c r="T21" s="921">
        <f t="shared" ca="1" si="1"/>
        <v>53683.760968590228</v>
      </c>
      <c r="U21" s="921">
        <f t="shared" ca="1" si="1"/>
        <v>92029.304517583238</v>
      </c>
      <c r="V21" s="922">
        <f t="shared" ca="1" si="4"/>
        <v>92029.304517583238</v>
      </c>
    </row>
    <row r="22" spans="2:22" ht="15.4" thickBot="1">
      <c r="B22" s="926" t="s">
        <v>555</v>
      </c>
      <c r="C22" s="899">
        <v>8</v>
      </c>
      <c r="D22" s="899">
        <v>8</v>
      </c>
      <c r="E22" s="914">
        <f t="shared" si="2"/>
        <v>1</v>
      </c>
      <c r="F22" s="915">
        <v>2</v>
      </c>
      <c r="G22" s="926" t="s">
        <v>556</v>
      </c>
      <c r="H22" s="899"/>
      <c r="I22" s="916">
        <v>44621</v>
      </c>
      <c r="J22" s="916">
        <v>44743</v>
      </c>
      <c r="K22" s="899"/>
      <c r="L22" s="887"/>
      <c r="M22" s="906">
        <v>0</v>
      </c>
      <c r="N22" s="906">
        <v>8</v>
      </c>
      <c r="O22" s="906">
        <v>12</v>
      </c>
      <c r="P22" s="918">
        <f t="shared" si="3"/>
        <v>5.3702290204801231E-2</v>
      </c>
      <c r="Q22" s="919">
        <f t="shared" ca="1" si="0"/>
        <v>92029.304517583238</v>
      </c>
      <c r="R22" s="909"/>
      <c r="S22" s="920">
        <f t="shared" ca="1" si="1"/>
        <v>0</v>
      </c>
      <c r="T22" s="921">
        <f t="shared" ca="1" si="1"/>
        <v>61352.869678388823</v>
      </c>
      <c r="U22" s="921">
        <f t="shared" ca="1" si="1"/>
        <v>92029.304517583238</v>
      </c>
      <c r="V22" s="922">
        <f t="shared" ca="1" si="4"/>
        <v>92029.304517583238</v>
      </c>
    </row>
    <row r="23" spans="2:22" ht="15.4" thickBot="1">
      <c r="B23" s="926" t="s">
        <v>557</v>
      </c>
      <c r="C23" s="899">
        <v>8</v>
      </c>
      <c r="D23" s="899">
        <v>7</v>
      </c>
      <c r="E23" s="914">
        <f t="shared" si="2"/>
        <v>0.875</v>
      </c>
      <c r="F23" s="915">
        <v>2</v>
      </c>
      <c r="G23" s="926" t="s">
        <v>556</v>
      </c>
      <c r="H23" s="899"/>
      <c r="I23" s="916">
        <v>44621</v>
      </c>
      <c r="J23" s="916">
        <v>44743</v>
      </c>
      <c r="K23" s="899"/>
      <c r="L23" s="887"/>
      <c r="M23" s="906">
        <v>0</v>
      </c>
      <c r="N23" s="906">
        <v>8</v>
      </c>
      <c r="O23" s="906">
        <v>12</v>
      </c>
      <c r="P23" s="918">
        <f t="shared" si="3"/>
        <v>5.3702290204801231E-2</v>
      </c>
      <c r="Q23" s="919">
        <f t="shared" ca="1" si="0"/>
        <v>92029.304517583238</v>
      </c>
      <c r="R23" s="909"/>
      <c r="S23" s="920">
        <f t="shared" ca="1" si="1"/>
        <v>0</v>
      </c>
      <c r="T23" s="921">
        <f t="shared" ca="1" si="1"/>
        <v>61352.869678388823</v>
      </c>
      <c r="U23" s="921">
        <f t="shared" ca="1" si="1"/>
        <v>92029.304517583238</v>
      </c>
      <c r="V23" s="922">
        <f t="shared" ca="1" si="4"/>
        <v>92029.304517583238</v>
      </c>
    </row>
    <row r="24" spans="2:22" ht="15.4" thickBot="1">
      <c r="B24" s="926" t="s">
        <v>558</v>
      </c>
      <c r="C24" s="899">
        <v>8</v>
      </c>
      <c r="D24" s="899">
        <v>8</v>
      </c>
      <c r="E24" s="914">
        <f t="shared" si="2"/>
        <v>1</v>
      </c>
      <c r="F24" s="915">
        <v>1</v>
      </c>
      <c r="G24" s="926" t="s">
        <v>556</v>
      </c>
      <c r="H24" s="899"/>
      <c r="I24" s="916">
        <v>44621</v>
      </c>
      <c r="J24" s="916">
        <v>44743</v>
      </c>
      <c r="K24" s="899"/>
      <c r="L24" s="887"/>
      <c r="M24" s="906">
        <v>0</v>
      </c>
      <c r="N24" s="906">
        <v>8</v>
      </c>
      <c r="O24" s="906">
        <v>12</v>
      </c>
      <c r="P24" s="918">
        <f t="shared" si="3"/>
        <v>5.3702290204801231E-2</v>
      </c>
      <c r="Q24" s="919">
        <f t="shared" ca="1" si="0"/>
        <v>92029.304517583238</v>
      </c>
      <c r="R24" s="909"/>
      <c r="S24" s="920">
        <f t="shared" ca="1" si="1"/>
        <v>0</v>
      </c>
      <c r="T24" s="921">
        <f t="shared" ca="1" si="1"/>
        <v>61352.869678388823</v>
      </c>
      <c r="U24" s="921">
        <f t="shared" ca="1" si="1"/>
        <v>92029.304517583238</v>
      </c>
      <c r="V24" s="922">
        <f t="shared" ca="1" si="4"/>
        <v>92029.304517583238</v>
      </c>
    </row>
    <row r="25" spans="2:22" ht="15.4" thickBot="1">
      <c r="B25" s="926" t="s">
        <v>559</v>
      </c>
      <c r="C25" s="899">
        <v>8</v>
      </c>
      <c r="D25" s="899">
        <v>7</v>
      </c>
      <c r="E25" s="914">
        <f t="shared" si="2"/>
        <v>0.875</v>
      </c>
      <c r="F25" s="915">
        <v>2</v>
      </c>
      <c r="G25" s="926" t="s">
        <v>556</v>
      </c>
      <c r="H25" s="899"/>
      <c r="I25" s="916">
        <v>44621</v>
      </c>
      <c r="J25" s="916">
        <v>44743</v>
      </c>
      <c r="K25" s="899"/>
      <c r="L25" s="887"/>
      <c r="M25" s="906">
        <v>0</v>
      </c>
      <c r="N25" s="906">
        <v>8</v>
      </c>
      <c r="O25" s="906">
        <v>12</v>
      </c>
      <c r="P25" s="918">
        <f t="shared" si="3"/>
        <v>5.3702290204801231E-2</v>
      </c>
      <c r="Q25" s="919">
        <f t="shared" ca="1" si="0"/>
        <v>92029.304517583238</v>
      </c>
      <c r="R25" s="909"/>
      <c r="S25" s="920">
        <f t="shared" ca="1" si="1"/>
        <v>0</v>
      </c>
      <c r="T25" s="921">
        <f t="shared" ca="1" si="1"/>
        <v>61352.869678388823</v>
      </c>
      <c r="U25" s="921">
        <f t="shared" ca="1" si="1"/>
        <v>92029.304517583238</v>
      </c>
      <c r="V25" s="922">
        <f t="shared" ca="1" si="4"/>
        <v>92029.304517583238</v>
      </c>
    </row>
    <row r="26" spans="2:22" ht="15.4" thickBot="1">
      <c r="B26" s="926" t="s">
        <v>560</v>
      </c>
      <c r="C26" s="899">
        <v>2</v>
      </c>
      <c r="D26" s="899">
        <v>2</v>
      </c>
      <c r="E26" s="914">
        <f t="shared" si="2"/>
        <v>1</v>
      </c>
      <c r="F26" s="915">
        <v>2</v>
      </c>
      <c r="G26" s="926" t="s">
        <v>556</v>
      </c>
      <c r="H26" s="899"/>
      <c r="I26" s="916">
        <v>44621</v>
      </c>
      <c r="J26" s="916">
        <v>44743</v>
      </c>
      <c r="K26" s="899"/>
      <c r="L26" s="887"/>
      <c r="M26" s="906">
        <v>0</v>
      </c>
      <c r="N26" s="906">
        <v>8</v>
      </c>
      <c r="O26" s="906">
        <v>12</v>
      </c>
      <c r="P26" s="918">
        <f t="shared" si="3"/>
        <v>1.3425572551200308E-2</v>
      </c>
      <c r="Q26" s="919">
        <f t="shared" ca="1" si="0"/>
        <v>23007.326129395809</v>
      </c>
      <c r="R26" s="909"/>
      <c r="S26" s="920">
        <f t="shared" ca="1" si="1"/>
        <v>0</v>
      </c>
      <c r="T26" s="921">
        <f t="shared" ca="1" si="1"/>
        <v>15338.217419597206</v>
      </c>
      <c r="U26" s="921">
        <f t="shared" ca="1" si="1"/>
        <v>23007.326129395809</v>
      </c>
      <c r="V26" s="922">
        <f t="shared" ca="1" si="4"/>
        <v>23007.326129395809</v>
      </c>
    </row>
    <row r="27" spans="2:22" ht="15.4" thickBot="1">
      <c r="B27" s="926" t="s">
        <v>561</v>
      </c>
      <c r="C27" s="899">
        <v>2</v>
      </c>
      <c r="D27" s="899">
        <v>2</v>
      </c>
      <c r="E27" s="914">
        <f t="shared" si="2"/>
        <v>1</v>
      </c>
      <c r="F27" s="915">
        <v>2</v>
      </c>
      <c r="G27" s="926" t="s">
        <v>556</v>
      </c>
      <c r="H27" s="899"/>
      <c r="I27" s="916">
        <v>44621</v>
      </c>
      <c r="J27" s="916">
        <v>44743</v>
      </c>
      <c r="K27" s="899"/>
      <c r="L27" s="887"/>
      <c r="M27" s="906">
        <v>0</v>
      </c>
      <c r="N27" s="906">
        <v>8</v>
      </c>
      <c r="O27" s="906">
        <v>12</v>
      </c>
      <c r="P27" s="918">
        <f t="shared" si="3"/>
        <v>1.3425572551200308E-2</v>
      </c>
      <c r="Q27" s="919">
        <f t="shared" ca="1" si="0"/>
        <v>23007.326129395809</v>
      </c>
      <c r="R27" s="909"/>
      <c r="S27" s="920">
        <f t="shared" ca="1" si="1"/>
        <v>0</v>
      </c>
      <c r="T27" s="921">
        <f t="shared" ca="1" si="1"/>
        <v>15338.217419597206</v>
      </c>
      <c r="U27" s="921">
        <f t="shared" ca="1" si="1"/>
        <v>23007.326129395809</v>
      </c>
      <c r="V27" s="922">
        <f t="shared" ca="1" si="4"/>
        <v>23007.326129395809</v>
      </c>
    </row>
    <row r="28" spans="2:22" ht="15.75" customHeight="1" thickBot="1">
      <c r="B28" s="926" t="s">
        <v>562</v>
      </c>
      <c r="C28" s="899">
        <v>2</v>
      </c>
      <c r="D28" s="899">
        <v>2</v>
      </c>
      <c r="E28" s="914">
        <f t="shared" si="2"/>
        <v>1</v>
      </c>
      <c r="F28" s="915">
        <v>3</v>
      </c>
      <c r="G28" s="926" t="s">
        <v>556</v>
      </c>
      <c r="H28" s="899"/>
      <c r="I28" s="916">
        <v>44621</v>
      </c>
      <c r="J28" s="916">
        <v>44743</v>
      </c>
      <c r="K28" s="899"/>
      <c r="L28" s="887"/>
      <c r="M28" s="906">
        <v>0</v>
      </c>
      <c r="N28" s="906">
        <v>8</v>
      </c>
      <c r="O28" s="906">
        <v>12</v>
      </c>
      <c r="P28" s="918">
        <f t="shared" si="3"/>
        <v>1.3425572551200308E-2</v>
      </c>
      <c r="Q28" s="919">
        <f t="shared" ca="1" si="0"/>
        <v>23007.326129395809</v>
      </c>
      <c r="R28" s="909"/>
      <c r="S28" s="920">
        <f t="shared" ca="1" si="1"/>
        <v>0</v>
      </c>
      <c r="T28" s="921">
        <f t="shared" ca="1" si="1"/>
        <v>15338.217419597206</v>
      </c>
      <c r="U28" s="921">
        <f t="shared" ca="1" si="1"/>
        <v>23007.326129395809</v>
      </c>
      <c r="V28" s="922">
        <f t="shared" ca="1" si="4"/>
        <v>23007.326129395809</v>
      </c>
    </row>
    <row r="29" spans="2:22" ht="15.4" thickBot="1">
      <c r="B29" s="926" t="s">
        <v>563</v>
      </c>
      <c r="C29" s="899">
        <v>2</v>
      </c>
      <c r="D29" s="899">
        <v>2</v>
      </c>
      <c r="E29" s="914">
        <f t="shared" si="2"/>
        <v>1</v>
      </c>
      <c r="F29" s="915">
        <v>3</v>
      </c>
      <c r="G29" s="926" t="s">
        <v>556</v>
      </c>
      <c r="H29" s="899"/>
      <c r="I29" s="916">
        <v>44621</v>
      </c>
      <c r="J29" s="916">
        <v>44743</v>
      </c>
      <c r="K29" s="899"/>
      <c r="L29" s="887"/>
      <c r="M29" s="906">
        <v>0</v>
      </c>
      <c r="N29" s="906">
        <v>8</v>
      </c>
      <c r="O29" s="906">
        <v>12</v>
      </c>
      <c r="P29" s="918">
        <f t="shared" si="3"/>
        <v>1.3425572551200308E-2</v>
      </c>
      <c r="Q29" s="919">
        <f t="shared" ca="1" si="0"/>
        <v>23007.326129395809</v>
      </c>
      <c r="R29" s="909"/>
      <c r="S29" s="920">
        <f t="shared" ca="1" si="1"/>
        <v>0</v>
      </c>
      <c r="T29" s="921">
        <f t="shared" ca="1" si="1"/>
        <v>15338.217419597206</v>
      </c>
      <c r="U29" s="921">
        <f t="shared" ca="1" si="1"/>
        <v>23007.326129395809</v>
      </c>
      <c r="V29" s="922">
        <f t="shared" ca="1" si="4"/>
        <v>23007.326129395809</v>
      </c>
    </row>
    <row r="30" spans="2:22" ht="15.4" thickBot="1">
      <c r="B30" s="924" t="s">
        <v>564</v>
      </c>
      <c r="C30" s="899">
        <v>2</v>
      </c>
      <c r="D30" s="899">
        <v>2</v>
      </c>
      <c r="E30" s="914">
        <f t="shared" si="2"/>
        <v>1</v>
      </c>
      <c r="F30" s="915">
        <v>3</v>
      </c>
      <c r="G30" s="924" t="s">
        <v>547</v>
      </c>
      <c r="H30" s="899"/>
      <c r="I30" s="916">
        <v>44531</v>
      </c>
      <c r="J30" s="916">
        <v>44621</v>
      </c>
      <c r="K30" s="899"/>
      <c r="L30" s="887"/>
      <c r="M30" s="906">
        <v>0</v>
      </c>
      <c r="N30" s="906">
        <v>10</v>
      </c>
      <c r="O30" s="906">
        <v>12</v>
      </c>
      <c r="P30" s="918">
        <f t="shared" si="3"/>
        <v>1.3425572551200308E-2</v>
      </c>
      <c r="Q30" s="919">
        <f t="shared" ca="1" si="0"/>
        <v>23007.326129395809</v>
      </c>
      <c r="R30" s="909"/>
      <c r="S30" s="920">
        <f t="shared" ca="1" si="1"/>
        <v>0</v>
      </c>
      <c r="T30" s="921">
        <f t="shared" ca="1" si="1"/>
        <v>19172.771774496508</v>
      </c>
      <c r="U30" s="921">
        <f t="shared" ca="1" si="1"/>
        <v>23007.326129395809</v>
      </c>
      <c r="V30" s="922">
        <f t="shared" ca="1" si="4"/>
        <v>23007.326129395809</v>
      </c>
    </row>
    <row r="31" spans="2:22" ht="15.4" thickBot="1">
      <c r="B31" s="924" t="s">
        <v>565</v>
      </c>
      <c r="C31" s="899">
        <v>2</v>
      </c>
      <c r="D31" s="899">
        <v>2</v>
      </c>
      <c r="E31" s="914">
        <f>D31/C31</f>
        <v>1</v>
      </c>
      <c r="F31" s="915">
        <v>3</v>
      </c>
      <c r="G31" s="924" t="s">
        <v>547</v>
      </c>
      <c r="H31" s="899"/>
      <c r="I31" s="916">
        <v>44531</v>
      </c>
      <c r="J31" s="916">
        <v>44621</v>
      </c>
      <c r="K31" s="899"/>
      <c r="L31" s="887"/>
      <c r="M31" s="906">
        <v>0</v>
      </c>
      <c r="N31" s="906">
        <v>10</v>
      </c>
      <c r="O31" s="906">
        <v>12</v>
      </c>
      <c r="P31" s="918">
        <f t="shared" si="3"/>
        <v>1.3425572551200308E-2</v>
      </c>
      <c r="Q31" s="919">
        <f t="shared" ca="1" si="0"/>
        <v>23007.326129395809</v>
      </c>
      <c r="R31" s="909"/>
      <c r="S31" s="920">
        <f t="shared" ref="S31:U38" ca="1" si="5">M31/12*$Q31</f>
        <v>0</v>
      </c>
      <c r="T31" s="921">
        <f t="shared" ca="1" si="5"/>
        <v>19172.771774496508</v>
      </c>
      <c r="U31" s="921">
        <f t="shared" ca="1" si="5"/>
        <v>23007.326129395809</v>
      </c>
      <c r="V31" s="922">
        <f t="shared" ca="1" si="4"/>
        <v>23007.326129395809</v>
      </c>
    </row>
    <row r="32" spans="2:22" ht="15.4" thickBot="1">
      <c r="B32" s="924" t="s">
        <v>566</v>
      </c>
      <c r="C32" s="899">
        <v>2</v>
      </c>
      <c r="D32" s="899">
        <v>2</v>
      </c>
      <c r="E32" s="914">
        <f t="shared" ref="E32:E38" si="6">D32/C32</f>
        <v>1</v>
      </c>
      <c r="F32" s="915">
        <v>2</v>
      </c>
      <c r="G32" s="924" t="s">
        <v>547</v>
      </c>
      <c r="H32" s="899"/>
      <c r="I32" s="916">
        <v>44531</v>
      </c>
      <c r="J32" s="916">
        <v>44621</v>
      </c>
      <c r="K32" s="899"/>
      <c r="L32" s="887"/>
      <c r="M32" s="906">
        <v>0</v>
      </c>
      <c r="N32" s="906">
        <v>10</v>
      </c>
      <c r="O32" s="906">
        <v>12</v>
      </c>
      <c r="P32" s="918">
        <f t="shared" si="3"/>
        <v>1.3425572551200308E-2</v>
      </c>
      <c r="Q32" s="919">
        <f t="shared" ca="1" si="0"/>
        <v>23007.326129395809</v>
      </c>
      <c r="R32" s="909"/>
      <c r="S32" s="920">
        <f t="shared" ca="1" si="5"/>
        <v>0</v>
      </c>
      <c r="T32" s="921">
        <f t="shared" ca="1" si="5"/>
        <v>19172.771774496508</v>
      </c>
      <c r="U32" s="921">
        <f t="shared" ca="1" si="5"/>
        <v>23007.326129395809</v>
      </c>
      <c r="V32" s="922">
        <f t="shared" ca="1" si="4"/>
        <v>23007.326129395809</v>
      </c>
    </row>
    <row r="33" spans="2:22" ht="15.4" thickBot="1">
      <c r="B33" s="924" t="s">
        <v>567</v>
      </c>
      <c r="C33" s="899">
        <v>2</v>
      </c>
      <c r="D33" s="899">
        <v>2</v>
      </c>
      <c r="E33" s="914">
        <f t="shared" si="6"/>
        <v>1</v>
      </c>
      <c r="F33" s="915">
        <v>3</v>
      </c>
      <c r="G33" s="924" t="s">
        <v>547</v>
      </c>
      <c r="H33" s="899"/>
      <c r="I33" s="916">
        <v>44531</v>
      </c>
      <c r="J33" s="916">
        <v>44621</v>
      </c>
      <c r="K33" s="899"/>
      <c r="L33" s="887"/>
      <c r="M33" s="906">
        <v>0</v>
      </c>
      <c r="N33" s="906">
        <v>10</v>
      </c>
      <c r="O33" s="906">
        <v>12</v>
      </c>
      <c r="P33" s="918">
        <f t="shared" si="3"/>
        <v>1.3425572551200308E-2</v>
      </c>
      <c r="Q33" s="919">
        <f t="shared" ca="1" si="0"/>
        <v>23007.326129395809</v>
      </c>
      <c r="R33" s="909"/>
      <c r="S33" s="920">
        <f t="shared" ca="1" si="5"/>
        <v>0</v>
      </c>
      <c r="T33" s="921">
        <f t="shared" ca="1" si="5"/>
        <v>19172.771774496508</v>
      </c>
      <c r="U33" s="921">
        <f t="shared" ca="1" si="5"/>
        <v>23007.326129395809</v>
      </c>
      <c r="V33" s="922">
        <f t="shared" ca="1" si="4"/>
        <v>23007.326129395809</v>
      </c>
    </row>
    <row r="34" spans="2:22" ht="15.4" thickBot="1">
      <c r="B34" s="913" t="s">
        <v>568</v>
      </c>
      <c r="C34" s="899">
        <v>2</v>
      </c>
      <c r="D34" s="899">
        <v>2</v>
      </c>
      <c r="E34" s="914">
        <f t="shared" si="6"/>
        <v>1</v>
      </c>
      <c r="F34" s="915">
        <v>2</v>
      </c>
      <c r="G34" s="913" t="s">
        <v>543</v>
      </c>
      <c r="H34" s="899"/>
      <c r="I34" s="916">
        <v>44440</v>
      </c>
      <c r="J34" s="916">
        <v>44531</v>
      </c>
      <c r="K34" s="899"/>
      <c r="L34" s="887"/>
      <c r="M34" s="906">
        <v>0</v>
      </c>
      <c r="N34" s="906">
        <v>12</v>
      </c>
      <c r="O34" s="906">
        <v>12</v>
      </c>
      <c r="P34" s="918">
        <f t="shared" si="3"/>
        <v>1.3425572551200308E-2</v>
      </c>
      <c r="Q34" s="919">
        <f t="shared" ca="1" si="0"/>
        <v>23007.326129395809</v>
      </c>
      <c r="R34" s="909"/>
      <c r="S34" s="920">
        <f t="shared" ca="1" si="5"/>
        <v>0</v>
      </c>
      <c r="T34" s="921">
        <f t="shared" ca="1" si="5"/>
        <v>23007.326129395809</v>
      </c>
      <c r="U34" s="921">
        <f t="shared" ca="1" si="5"/>
        <v>23007.326129395809</v>
      </c>
      <c r="V34" s="922">
        <f t="shared" ca="1" si="4"/>
        <v>23007.326129395809</v>
      </c>
    </row>
    <row r="35" spans="2:22" ht="15.4" thickBot="1">
      <c r="B35" s="913" t="s">
        <v>569</v>
      </c>
      <c r="C35" s="899">
        <v>2</v>
      </c>
      <c r="D35" s="899">
        <v>2</v>
      </c>
      <c r="E35" s="914">
        <f t="shared" si="6"/>
        <v>1</v>
      </c>
      <c r="F35" s="915">
        <v>3</v>
      </c>
      <c r="G35" s="913" t="s">
        <v>543</v>
      </c>
      <c r="H35" s="899"/>
      <c r="I35" s="916">
        <v>44440</v>
      </c>
      <c r="J35" s="916">
        <v>44531</v>
      </c>
      <c r="K35" s="899"/>
      <c r="L35" s="887"/>
      <c r="M35" s="906">
        <v>0</v>
      </c>
      <c r="N35" s="906">
        <v>12</v>
      </c>
      <c r="O35" s="906">
        <v>12</v>
      </c>
      <c r="P35" s="918">
        <f t="shared" si="3"/>
        <v>1.3425572551200308E-2</v>
      </c>
      <c r="Q35" s="919">
        <f t="shared" ca="1" si="0"/>
        <v>23007.326129395809</v>
      </c>
      <c r="R35" s="909"/>
      <c r="S35" s="920">
        <f t="shared" ca="1" si="5"/>
        <v>0</v>
      </c>
      <c r="T35" s="921">
        <f t="shared" ca="1" si="5"/>
        <v>23007.326129395809</v>
      </c>
      <c r="U35" s="921">
        <f t="shared" ca="1" si="5"/>
        <v>23007.326129395809</v>
      </c>
      <c r="V35" s="922">
        <f t="shared" ca="1" si="4"/>
        <v>23007.326129395809</v>
      </c>
    </row>
    <row r="36" spans="2:22" ht="15.4" thickBot="1">
      <c r="B36" s="913" t="s">
        <v>570</v>
      </c>
      <c r="C36" s="899">
        <v>2</v>
      </c>
      <c r="D36" s="899">
        <v>2</v>
      </c>
      <c r="E36" s="914">
        <f t="shared" si="6"/>
        <v>1</v>
      </c>
      <c r="F36" s="915">
        <v>2</v>
      </c>
      <c r="G36" s="913" t="s">
        <v>543</v>
      </c>
      <c r="H36" s="899"/>
      <c r="I36" s="916">
        <v>44440</v>
      </c>
      <c r="J36" s="916">
        <v>44531</v>
      </c>
      <c r="K36" s="899"/>
      <c r="L36" s="887"/>
      <c r="M36" s="906">
        <v>0</v>
      </c>
      <c r="N36" s="906">
        <v>12</v>
      </c>
      <c r="O36" s="906">
        <v>12</v>
      </c>
      <c r="P36" s="918">
        <f t="shared" si="3"/>
        <v>1.3425572551200308E-2</v>
      </c>
      <c r="Q36" s="919">
        <f t="shared" ca="1" si="0"/>
        <v>23007.326129395809</v>
      </c>
      <c r="R36" s="909"/>
      <c r="S36" s="920">
        <f t="shared" ca="1" si="5"/>
        <v>0</v>
      </c>
      <c r="T36" s="921">
        <f t="shared" ca="1" si="5"/>
        <v>23007.326129395809</v>
      </c>
      <c r="U36" s="921">
        <f t="shared" ca="1" si="5"/>
        <v>23007.326129395809</v>
      </c>
      <c r="V36" s="922">
        <f t="shared" ca="1" si="4"/>
        <v>23007.326129395809</v>
      </c>
    </row>
    <row r="37" spans="2:22" ht="15.4" thickBot="1">
      <c r="B37" s="913" t="s">
        <v>571</v>
      </c>
      <c r="C37" s="899">
        <v>2</v>
      </c>
      <c r="D37" s="899">
        <v>2</v>
      </c>
      <c r="E37" s="914">
        <f t="shared" si="6"/>
        <v>1</v>
      </c>
      <c r="F37" s="915">
        <v>2</v>
      </c>
      <c r="G37" s="913" t="s">
        <v>543</v>
      </c>
      <c r="H37" s="899"/>
      <c r="I37" s="916">
        <v>44440</v>
      </c>
      <c r="J37" s="916">
        <v>44531</v>
      </c>
      <c r="K37" s="899"/>
      <c r="L37" s="887"/>
      <c r="M37" s="906">
        <v>0</v>
      </c>
      <c r="N37" s="906">
        <v>12</v>
      </c>
      <c r="O37" s="906">
        <v>12</v>
      </c>
      <c r="P37" s="918">
        <f t="shared" si="3"/>
        <v>1.3425572551200308E-2</v>
      </c>
      <c r="Q37" s="919">
        <f t="shared" ca="1" si="0"/>
        <v>23007.326129395809</v>
      </c>
      <c r="R37" s="909"/>
      <c r="S37" s="920">
        <f t="shared" ca="1" si="5"/>
        <v>0</v>
      </c>
      <c r="T37" s="921">
        <f t="shared" ca="1" si="5"/>
        <v>23007.326129395809</v>
      </c>
      <c r="U37" s="921">
        <f t="shared" ca="1" si="5"/>
        <v>23007.326129395809</v>
      </c>
      <c r="V37" s="922">
        <f t="shared" ca="1" si="4"/>
        <v>23007.326129395809</v>
      </c>
    </row>
    <row r="38" spans="2:22" ht="15.4" thickBot="1">
      <c r="B38" s="913" t="s">
        <v>572</v>
      </c>
      <c r="C38" s="899">
        <v>2</v>
      </c>
      <c r="D38" s="899">
        <v>2</v>
      </c>
      <c r="E38" s="914">
        <f t="shared" si="6"/>
        <v>1</v>
      </c>
      <c r="F38" s="915">
        <v>3</v>
      </c>
      <c r="G38" s="913" t="s">
        <v>543</v>
      </c>
      <c r="H38" s="899"/>
      <c r="I38" s="916">
        <v>44440</v>
      </c>
      <c r="J38" s="916">
        <v>44531</v>
      </c>
      <c r="K38" s="899"/>
      <c r="L38" s="887"/>
      <c r="M38" s="906">
        <v>0</v>
      </c>
      <c r="N38" s="906">
        <v>12</v>
      </c>
      <c r="O38" s="906">
        <v>12</v>
      </c>
      <c r="P38" s="918">
        <f t="shared" si="3"/>
        <v>1.3425572551200308E-2</v>
      </c>
      <c r="Q38" s="919">
        <f t="shared" ca="1" si="0"/>
        <v>23007.326129395809</v>
      </c>
      <c r="R38" s="909"/>
      <c r="S38" s="920">
        <f t="shared" ca="1" si="5"/>
        <v>0</v>
      </c>
      <c r="T38" s="921">
        <f t="shared" ca="1" si="5"/>
        <v>23007.326129395809</v>
      </c>
      <c r="U38" s="921">
        <f t="shared" ca="1" si="5"/>
        <v>23007.326129395809</v>
      </c>
      <c r="V38" s="922">
        <f t="shared" ca="1" si="4"/>
        <v>23007.326129395809</v>
      </c>
    </row>
    <row r="39" spans="2:22">
      <c r="C39" s="494">
        <f>SUM(C11:C38)</f>
        <v>136</v>
      </c>
      <c r="M39" s="494">
        <f>SUM(M11:M38)</f>
        <v>0</v>
      </c>
      <c r="N39" s="494">
        <f>SUM(N11:N38)</f>
        <v>258</v>
      </c>
      <c r="O39" s="494">
        <f>SUM(O11:O38)</f>
        <v>325</v>
      </c>
      <c r="P39" s="927">
        <f>SUM(P11:P38)</f>
        <v>1.0000000000000004</v>
      </c>
      <c r="Q39" s="928">
        <f ca="1">SUM(Q11:Q38)</f>
        <v>1713694.2235911449</v>
      </c>
      <c r="R39" s="889"/>
      <c r="S39" s="928">
        <f ca="1">SUM(S11:S38)</f>
        <v>0</v>
      </c>
      <c r="T39" s="928">
        <f ca="1">SUM(T11:T38)</f>
        <v>1200215.5130834812</v>
      </c>
      <c r="U39" s="928">
        <f ca="1">SUM(U11:U38)</f>
        <v>1605514.5518355905</v>
      </c>
      <c r="V39" s="928">
        <f ca="1">SUM(V11:V38)</f>
        <v>1713694.2235911449</v>
      </c>
    </row>
    <row r="40" spans="2:22">
      <c r="C40" s="929"/>
      <c r="M40" s="909"/>
      <c r="N40" s="909"/>
      <c r="P40" s="930"/>
      <c r="Q40" s="909"/>
      <c r="R40" s="909"/>
      <c r="S40" s="909"/>
      <c r="T40" s="909"/>
      <c r="U40" s="909"/>
      <c r="V40" s="931">
        <f ca="1">V39-N7</f>
        <v>0</v>
      </c>
    </row>
    <row r="41" spans="2:22">
      <c r="M41" s="909"/>
      <c r="N41" s="909"/>
      <c r="O41" s="909"/>
      <c r="P41" s="909"/>
      <c r="Q41" s="909"/>
      <c r="R41" s="909"/>
      <c r="S41" s="932"/>
      <c r="U41" s="909"/>
      <c r="V41" s="909"/>
    </row>
    <row r="42" spans="2:22">
      <c r="J42" s="933"/>
      <c r="M42" s="909"/>
      <c r="O42" s="909"/>
      <c r="P42" s="909"/>
      <c r="Q42" s="909"/>
      <c r="R42" s="909"/>
      <c r="S42" s="909"/>
      <c r="T42" s="934"/>
      <c r="U42" s="909"/>
      <c r="V42" s="909"/>
    </row>
    <row r="43" spans="2:22">
      <c r="O43" s="909"/>
    </row>
    <row r="44" spans="2:22">
      <c r="O44" s="909"/>
    </row>
    <row r="45" spans="2:22">
      <c r="O45" s="909"/>
    </row>
    <row r="46" spans="2:22">
      <c r="O46" s="909"/>
    </row>
    <row r="47" spans="2:22">
      <c r="O47" s="909"/>
    </row>
    <row r="48" spans="2:22">
      <c r="O48" s="909"/>
    </row>
    <row r="49" spans="14:15">
      <c r="O49" s="909"/>
    </row>
    <row r="50" spans="14:15">
      <c r="O50" s="909"/>
    </row>
    <row r="51" spans="14:15">
      <c r="O51" s="909"/>
    </row>
    <row r="52" spans="14:15">
      <c r="O52" s="909"/>
    </row>
    <row r="53" spans="14:15">
      <c r="O53" s="909"/>
    </row>
    <row r="54" spans="14:15">
      <c r="O54" s="909"/>
    </row>
    <row r="55" spans="14:15">
      <c r="O55" s="909"/>
    </row>
    <row r="56" spans="14:15">
      <c r="O56" s="909"/>
    </row>
    <row r="57" spans="14:15">
      <c r="O57" s="909"/>
    </row>
    <row r="58" spans="14:15">
      <c r="O58" s="909"/>
    </row>
    <row r="59" spans="14:15">
      <c r="O59" s="909"/>
    </row>
    <row r="60" spans="14:15">
      <c r="O60" s="909"/>
    </row>
    <row r="61" spans="14:15">
      <c r="O61" s="909"/>
    </row>
    <row r="62" spans="14:15">
      <c r="N62" s="935"/>
      <c r="O62" s="935"/>
    </row>
    <row r="64" spans="14:15">
      <c r="N64" s="836"/>
    </row>
  </sheetData>
  <mergeCells count="9">
    <mergeCell ref="I7:I10"/>
    <mergeCell ref="J7:J10"/>
    <mergeCell ref="K7:K10"/>
    <mergeCell ref="B7:B10"/>
    <mergeCell ref="C7:C10"/>
    <mergeCell ref="D7:D10"/>
    <mergeCell ref="F7:F10"/>
    <mergeCell ref="G7:G10"/>
    <mergeCell ref="H7:H10"/>
  </mergeCells>
  <pageMargins left="0.25" right="0.25" top="0.75" bottom="0.75" header="0.3" footer="0.3"/>
  <pageSetup scale="53" orientation="landscape" r:id="rId1"/>
  <colBreaks count="1" manualBreakCount="1">
    <brk id="1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CAB26-E473-450C-B9E9-8A4408A62C3A}">
  <sheetPr>
    <pageSetUpPr fitToPage="1"/>
  </sheetPr>
  <dimension ref="A1:N123"/>
  <sheetViews>
    <sheetView view="pageBreakPreview" zoomScale="90" zoomScaleNormal="96" zoomScaleSheetLayoutView="90" workbookViewId="0"/>
  </sheetViews>
  <sheetFormatPr defaultColWidth="6.77734375" defaultRowHeight="11.65"/>
  <cols>
    <col min="1" max="1" width="28.83203125" style="847" customWidth="1"/>
    <col min="2" max="2" width="2.21875" style="847" customWidth="1"/>
    <col min="3" max="3" width="1.94140625" style="847" customWidth="1"/>
    <col min="4" max="4" width="13.6640625" style="847" customWidth="1"/>
    <col min="5" max="13" width="13.5546875" style="847" customWidth="1"/>
    <col min="14" max="14" width="14.21875" style="847" customWidth="1"/>
    <col min="15" max="16384" width="6.77734375" style="847"/>
  </cols>
  <sheetData>
    <row r="1" spans="1:14" ht="17.649999999999999">
      <c r="A1" s="879" t="str">
        <f>'Sources and Use'!A1</f>
        <v>MDG Design and Construction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</row>
    <row r="2" spans="1:14" s="870" customFormat="1" ht="17.649999999999999">
      <c r="A2" s="879" t="str">
        <f>'Sources and Use'!A2</f>
        <v>Virgin Islands: Piggy/Hamilton RAD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</row>
    <row r="3" spans="1:14" s="870" customFormat="1" ht="18" thickBot="1">
      <c r="A3" s="879" t="str">
        <f>'Sources and Use'!A3</f>
        <v>4% LIHTC and FEMA/CDBG-DR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</row>
    <row r="4" spans="1:14" s="870" customFormat="1" ht="15">
      <c r="A4" s="877" t="s">
        <v>524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  <c r="L4" s="877"/>
      <c r="M4" s="877"/>
    </row>
    <row r="5" spans="1:14" s="870" customFormat="1" ht="15">
      <c r="A5" s="876"/>
      <c r="B5" s="876"/>
      <c r="C5" s="876"/>
      <c r="D5" s="1137" t="s">
        <v>74</v>
      </c>
      <c r="E5" s="1137" t="s">
        <v>523</v>
      </c>
      <c r="F5" s="1137"/>
      <c r="G5" s="1137"/>
      <c r="H5" s="1137"/>
      <c r="I5" s="1137"/>
      <c r="J5" s="1137"/>
      <c r="K5" s="1137"/>
      <c r="L5" s="1137"/>
      <c r="M5" s="1137"/>
    </row>
    <row r="6" spans="1:14" s="870" customFormat="1" ht="23.25">
      <c r="A6" s="875"/>
      <c r="B6" s="874"/>
      <c r="D6" s="1137"/>
      <c r="E6" s="873" t="s">
        <v>522</v>
      </c>
      <c r="F6" s="873" t="s">
        <v>500</v>
      </c>
      <c r="G6" s="873" t="s">
        <v>156</v>
      </c>
      <c r="H6" s="873" t="s">
        <v>521</v>
      </c>
      <c r="I6" s="873" t="s">
        <v>632</v>
      </c>
      <c r="J6" s="873" t="s">
        <v>281</v>
      </c>
      <c r="K6" s="873" t="s">
        <v>348</v>
      </c>
      <c r="L6" s="873" t="s">
        <v>19</v>
      </c>
      <c r="M6" s="873" t="s">
        <v>280</v>
      </c>
    </row>
    <row r="7" spans="1:14" s="870" customFormat="1" ht="15">
      <c r="A7" s="872" t="s">
        <v>82</v>
      </c>
      <c r="D7" s="871">
        <f>'Devel. Bud'!D12</f>
        <v>2500000</v>
      </c>
      <c r="G7" s="859">
        <f>D7</f>
        <v>2500000</v>
      </c>
      <c r="N7" s="859">
        <f>D7-SUM(E7:M7)</f>
        <v>0</v>
      </c>
    </row>
    <row r="8" spans="1:14" ht="15">
      <c r="A8" s="856"/>
      <c r="D8" s="869"/>
    </row>
    <row r="9" spans="1:14">
      <c r="A9" s="856" t="s">
        <v>451</v>
      </c>
      <c r="B9" s="851"/>
      <c r="C9" s="851"/>
    </row>
    <row r="10" spans="1:14">
      <c r="A10" s="856"/>
      <c r="B10" s="851"/>
      <c r="C10" s="851"/>
      <c r="D10" s="851"/>
    </row>
    <row r="11" spans="1:14">
      <c r="A11" s="864" t="s">
        <v>519</v>
      </c>
      <c r="B11" s="851"/>
      <c r="C11" s="851"/>
      <c r="D11" s="863">
        <f>'Devel. Bud'!D17</f>
        <v>20675143</v>
      </c>
      <c r="E11" s="748">
        <f>D11-SUM(G11:M11)</f>
        <v>9675143</v>
      </c>
      <c r="F11" s="748"/>
      <c r="G11" s="748"/>
      <c r="H11" s="748">
        <f>'Source by Eligiblity'!G11</f>
        <v>11000000</v>
      </c>
      <c r="I11" s="748"/>
      <c r="J11" s="748"/>
      <c r="K11" s="748"/>
      <c r="L11" s="748"/>
      <c r="M11" s="748"/>
      <c r="N11" s="859">
        <f>D11-SUM(E11:M11)</f>
        <v>0</v>
      </c>
    </row>
    <row r="12" spans="1:14">
      <c r="A12" s="856" t="s">
        <v>454</v>
      </c>
      <c r="D12" s="863">
        <f>'Devel. Bud'!D18</f>
        <v>2067515</v>
      </c>
      <c r="E12" s="748">
        <f>D12-SUM(G12:M12)</f>
        <v>2067515</v>
      </c>
      <c r="F12" s="748"/>
      <c r="G12" s="748"/>
      <c r="H12" s="748"/>
      <c r="I12" s="748"/>
      <c r="J12" s="748"/>
      <c r="K12" s="748"/>
      <c r="L12" s="748"/>
      <c r="M12" s="748"/>
      <c r="N12" s="859">
        <f>D12-SUM(E12:M12)</f>
        <v>0</v>
      </c>
    </row>
    <row r="13" spans="1:14">
      <c r="A13" s="856" t="s">
        <v>455</v>
      </c>
      <c r="D13" s="868">
        <f>SUM(D11:D12)</f>
        <v>22742658</v>
      </c>
      <c r="E13" s="748"/>
      <c r="F13" s="748"/>
      <c r="G13" s="748"/>
      <c r="H13" s="748"/>
      <c r="I13" s="748"/>
      <c r="J13" s="748"/>
      <c r="K13" s="748"/>
      <c r="L13" s="748"/>
      <c r="M13" s="748"/>
      <c r="N13" s="859"/>
    </row>
    <row r="14" spans="1:14" ht="15">
      <c r="A14" s="856"/>
      <c r="D14" s="867"/>
      <c r="E14" s="748"/>
      <c r="F14" s="748"/>
      <c r="G14" s="748"/>
      <c r="H14" s="748"/>
      <c r="I14" s="748"/>
      <c r="J14" s="748"/>
      <c r="K14" s="748"/>
      <c r="L14" s="748"/>
      <c r="M14" s="748"/>
    </row>
    <row r="15" spans="1:14" ht="15">
      <c r="A15" s="856" t="s">
        <v>84</v>
      </c>
      <c r="D15" s="866"/>
      <c r="E15" s="748"/>
      <c r="F15" s="748"/>
      <c r="G15" s="748"/>
      <c r="H15" s="748"/>
      <c r="I15" s="748"/>
      <c r="J15" s="748"/>
      <c r="K15" s="748"/>
      <c r="L15" s="748"/>
      <c r="M15" s="748"/>
      <c r="N15" s="859"/>
    </row>
    <row r="16" spans="1:14">
      <c r="A16" s="854" t="s">
        <v>305</v>
      </c>
      <c r="D16" s="862">
        <f>'Devel. Bud'!D22</f>
        <v>300000</v>
      </c>
      <c r="E16" s="748">
        <f>'Source by Eligiblity'!E16</f>
        <v>300000</v>
      </c>
      <c r="F16" s="748"/>
      <c r="G16" s="748"/>
      <c r="H16" s="748"/>
      <c r="I16" s="748"/>
      <c r="J16" s="748">
        <f>'Source by Eligiblity'!I16</f>
        <v>0</v>
      </c>
      <c r="K16" s="748"/>
      <c r="L16" s="748"/>
      <c r="M16" s="748"/>
      <c r="N16" s="859">
        <f t="shared" ref="N16:N31" si="0">D16-SUM(E16:M16)</f>
        <v>0</v>
      </c>
    </row>
    <row r="17" spans="1:14">
      <c r="A17" s="854" t="s">
        <v>65</v>
      </c>
      <c r="D17" s="862">
        <f>'Devel. Bud'!D23</f>
        <v>1150000</v>
      </c>
      <c r="E17" s="748">
        <f>'Source by Eligiblity'!E17</f>
        <v>1150000</v>
      </c>
      <c r="F17" s="748"/>
      <c r="G17" s="748"/>
      <c r="H17" s="748"/>
      <c r="I17" s="748"/>
      <c r="J17" s="748">
        <f>'Source by Eligiblity'!I17</f>
        <v>0</v>
      </c>
      <c r="K17" s="748"/>
      <c r="L17" s="748"/>
      <c r="M17" s="748"/>
      <c r="N17" s="859">
        <f t="shared" si="0"/>
        <v>0</v>
      </c>
    </row>
    <row r="18" spans="1:14">
      <c r="A18" s="854" t="s">
        <v>308</v>
      </c>
      <c r="D18" s="862">
        <f>'Devel. Bud'!D24</f>
        <v>100000</v>
      </c>
      <c r="E18" s="748">
        <f>'Source by Eligiblity'!E18</f>
        <v>100000</v>
      </c>
      <c r="F18" s="748"/>
      <c r="G18" s="748"/>
      <c r="H18" s="748"/>
      <c r="I18" s="748"/>
      <c r="J18" s="748">
        <f>'Source by Eligiblity'!I18</f>
        <v>0</v>
      </c>
      <c r="K18" s="748"/>
      <c r="L18" s="748"/>
      <c r="M18" s="748"/>
      <c r="N18" s="859">
        <f t="shared" si="0"/>
        <v>0</v>
      </c>
    </row>
    <row r="19" spans="1:14">
      <c r="A19" s="854" t="s">
        <v>209</v>
      </c>
      <c r="D19" s="862">
        <f>'Devel. Bud'!D25</f>
        <v>60000</v>
      </c>
      <c r="E19" s="748">
        <f>'Source by Eligiblity'!E19</f>
        <v>60000</v>
      </c>
      <c r="F19" s="748"/>
      <c r="G19" s="748"/>
      <c r="H19" s="748"/>
      <c r="I19" s="748"/>
      <c r="J19" s="748">
        <f>'Source by Eligiblity'!I19</f>
        <v>0</v>
      </c>
      <c r="K19" s="748"/>
      <c r="L19" s="748"/>
      <c r="M19" s="748"/>
      <c r="N19" s="859">
        <f t="shared" si="0"/>
        <v>0</v>
      </c>
    </row>
    <row r="20" spans="1:14">
      <c r="A20" s="854" t="s">
        <v>120</v>
      </c>
      <c r="D20" s="862">
        <f>'Devel. Bud'!D26</f>
        <v>100000</v>
      </c>
      <c r="E20" s="748">
        <f>'Source by Eligiblity'!E20</f>
        <v>100000</v>
      </c>
      <c r="F20" s="748"/>
      <c r="G20" s="748"/>
      <c r="H20" s="748"/>
      <c r="I20" s="748"/>
      <c r="J20" s="748">
        <f>'Source by Eligiblity'!I20</f>
        <v>0</v>
      </c>
      <c r="K20" s="748"/>
      <c r="L20" s="748"/>
      <c r="M20" s="748"/>
      <c r="N20" s="859">
        <f t="shared" si="0"/>
        <v>0</v>
      </c>
    </row>
    <row r="21" spans="1:14">
      <c r="A21" s="854" t="s">
        <v>85</v>
      </c>
      <c r="D21" s="862">
        <f>'Devel. Bud'!D27</f>
        <v>75000</v>
      </c>
      <c r="E21" s="748">
        <f>'Source by Eligiblity'!E21</f>
        <v>75000</v>
      </c>
      <c r="F21" s="748"/>
      <c r="G21" s="748"/>
      <c r="H21" s="748"/>
      <c r="I21" s="748"/>
      <c r="J21" s="748">
        <f>'Source by Eligiblity'!I21</f>
        <v>0</v>
      </c>
      <c r="K21" s="748"/>
      <c r="L21" s="748"/>
      <c r="M21" s="748"/>
      <c r="N21" s="859">
        <f t="shared" si="0"/>
        <v>0</v>
      </c>
    </row>
    <row r="22" spans="1:14">
      <c r="A22" s="854" t="s">
        <v>210</v>
      </c>
      <c r="D22" s="862">
        <f>'Devel. Bud'!D28</f>
        <v>75000</v>
      </c>
      <c r="E22" s="748">
        <f>'Source by Eligiblity'!E22</f>
        <v>75000</v>
      </c>
      <c r="F22" s="748"/>
      <c r="G22" s="748"/>
      <c r="H22" s="748"/>
      <c r="I22" s="748"/>
      <c r="J22" s="748">
        <f>'Source by Eligiblity'!I22</f>
        <v>0</v>
      </c>
      <c r="K22" s="748"/>
      <c r="L22" s="748"/>
      <c r="M22" s="748"/>
      <c r="N22" s="859">
        <f t="shared" si="0"/>
        <v>0</v>
      </c>
    </row>
    <row r="23" spans="1:14">
      <c r="A23" s="854" t="s">
        <v>86</v>
      </c>
      <c r="D23" s="862">
        <f>'Devel. Bud'!D29</f>
        <v>47500</v>
      </c>
      <c r="E23" s="748">
        <f>'Source by Eligiblity'!E23</f>
        <v>47500</v>
      </c>
      <c r="F23" s="748"/>
      <c r="G23" s="748"/>
      <c r="H23" s="748"/>
      <c r="I23" s="748"/>
      <c r="J23" s="748">
        <f>'Source by Eligiblity'!I23</f>
        <v>0</v>
      </c>
      <c r="K23" s="748"/>
      <c r="L23" s="748"/>
      <c r="M23" s="748"/>
      <c r="N23" s="859">
        <f t="shared" si="0"/>
        <v>0</v>
      </c>
    </row>
    <row r="24" spans="1:14">
      <c r="A24" s="854" t="s">
        <v>334</v>
      </c>
      <c r="D24" s="862">
        <f>'Devel. Bud'!D30</f>
        <v>7500</v>
      </c>
      <c r="E24" s="748">
        <f>'Source by Eligiblity'!E24</f>
        <v>7500</v>
      </c>
      <c r="F24" s="748"/>
      <c r="G24" s="748"/>
      <c r="H24" s="748"/>
      <c r="I24" s="748"/>
      <c r="J24" s="748">
        <f>'Source by Eligiblity'!I24</f>
        <v>0</v>
      </c>
      <c r="K24" s="748"/>
      <c r="L24" s="748"/>
      <c r="M24" s="748"/>
      <c r="N24" s="859">
        <f t="shared" si="0"/>
        <v>0</v>
      </c>
    </row>
    <row r="25" spans="1:14">
      <c r="A25" s="854" t="s">
        <v>81</v>
      </c>
      <c r="D25" s="862">
        <f>'Devel. Bud'!D31</f>
        <v>10000</v>
      </c>
      <c r="E25" s="748">
        <f>'Source by Eligiblity'!E25</f>
        <v>10000</v>
      </c>
      <c r="F25" s="748"/>
      <c r="G25" s="748"/>
      <c r="H25" s="748"/>
      <c r="I25" s="748"/>
      <c r="J25" s="748">
        <f>'Source by Eligiblity'!I25</f>
        <v>0</v>
      </c>
      <c r="K25" s="748"/>
      <c r="L25" s="748"/>
      <c r="M25" s="748"/>
      <c r="N25" s="859">
        <f t="shared" si="0"/>
        <v>0</v>
      </c>
    </row>
    <row r="26" spans="1:14">
      <c r="A26" s="854" t="s">
        <v>518</v>
      </c>
      <c r="D26" s="862">
        <f ca="1">'Devel. Bud'!D32</f>
        <v>218000</v>
      </c>
      <c r="E26" s="748">
        <f ca="1">'Source by Eligiblity'!E26</f>
        <v>218000</v>
      </c>
      <c r="F26" s="748"/>
      <c r="G26" s="748"/>
      <c r="H26" s="748"/>
      <c r="I26" s="748"/>
      <c r="J26" s="748">
        <f>'Source by Eligiblity'!I26</f>
        <v>0</v>
      </c>
      <c r="K26" s="748"/>
      <c r="L26" s="748"/>
      <c r="M26" s="748"/>
      <c r="N26" s="859">
        <f t="shared" ca="1" si="0"/>
        <v>0</v>
      </c>
    </row>
    <row r="27" spans="1:14">
      <c r="A27" s="854" t="s">
        <v>284</v>
      </c>
      <c r="D27" s="862">
        <f>'Devel. Bud'!D33</f>
        <v>10000</v>
      </c>
      <c r="E27" s="748">
        <f>'Source by Eligiblity'!E27</f>
        <v>0</v>
      </c>
      <c r="F27" s="748"/>
      <c r="G27" s="748"/>
      <c r="H27" s="748"/>
      <c r="I27" s="748"/>
      <c r="J27" s="748">
        <f>'Source by Eligiblity'!I27</f>
        <v>10000</v>
      </c>
      <c r="K27" s="748"/>
      <c r="L27" s="748"/>
      <c r="M27" s="748"/>
      <c r="N27" s="859">
        <f t="shared" si="0"/>
        <v>0</v>
      </c>
    </row>
    <row r="28" spans="1:14">
      <c r="A28" s="854" t="s">
        <v>22</v>
      </c>
      <c r="D28" s="862">
        <f>'Devel. Bud'!D34</f>
        <v>75000</v>
      </c>
      <c r="E28" s="748">
        <f>'Source by Eligiblity'!E28</f>
        <v>75000</v>
      </c>
      <c r="F28" s="748"/>
      <c r="G28" s="748"/>
      <c r="H28" s="748"/>
      <c r="I28" s="748"/>
      <c r="J28" s="748">
        <f>'Source by Eligiblity'!I28</f>
        <v>0</v>
      </c>
      <c r="K28" s="748"/>
      <c r="L28" s="748"/>
      <c r="M28" s="748"/>
      <c r="N28" s="859">
        <f t="shared" si="0"/>
        <v>0</v>
      </c>
    </row>
    <row r="29" spans="1:14">
      <c r="A29" s="854" t="s">
        <v>23</v>
      </c>
      <c r="D29" s="862">
        <f>'Devel. Bud'!D35</f>
        <v>100000</v>
      </c>
      <c r="E29" s="748">
        <f>'Source by Eligiblity'!E29</f>
        <v>100000</v>
      </c>
      <c r="F29" s="748"/>
      <c r="G29" s="748"/>
      <c r="H29" s="748"/>
      <c r="I29" s="748"/>
      <c r="J29" s="748">
        <f>'Source by Eligiblity'!I29</f>
        <v>0</v>
      </c>
      <c r="K29" s="748"/>
      <c r="L29" s="748"/>
      <c r="M29" s="748"/>
      <c r="N29" s="859">
        <f t="shared" si="0"/>
        <v>0</v>
      </c>
    </row>
    <row r="30" spans="1:14">
      <c r="A30" s="854" t="s">
        <v>124</v>
      </c>
      <c r="D30" s="862">
        <f>'Devel. Bud'!D36</f>
        <v>25000</v>
      </c>
      <c r="E30" s="748">
        <f>'Source by Eligiblity'!E30</f>
        <v>0</v>
      </c>
      <c r="F30" s="748"/>
      <c r="G30" s="748"/>
      <c r="H30" s="748"/>
      <c r="I30" s="748"/>
      <c r="J30" s="748">
        <f>'Source by Eligiblity'!I30</f>
        <v>25000</v>
      </c>
      <c r="K30" s="748"/>
      <c r="L30" s="748"/>
      <c r="M30" s="748"/>
      <c r="N30" s="859">
        <f t="shared" si="0"/>
        <v>0</v>
      </c>
    </row>
    <row r="31" spans="1:14">
      <c r="A31" s="854" t="s">
        <v>336</v>
      </c>
      <c r="D31" s="862">
        <f>'Devel. Bud'!D37</f>
        <v>50000</v>
      </c>
      <c r="E31" s="748">
        <f>'Source by Eligiblity'!E31</f>
        <v>0</v>
      </c>
      <c r="F31" s="748"/>
      <c r="G31" s="748"/>
      <c r="H31" s="748"/>
      <c r="I31" s="748"/>
      <c r="J31" s="748">
        <f>'Source by Eligiblity'!I31</f>
        <v>50000</v>
      </c>
      <c r="K31" s="748"/>
      <c r="L31" s="748"/>
      <c r="M31" s="748"/>
      <c r="N31" s="859">
        <f t="shared" si="0"/>
        <v>0</v>
      </c>
    </row>
    <row r="32" spans="1:14">
      <c r="A32" s="864" t="s">
        <v>66</v>
      </c>
      <c r="D32" s="863">
        <f ca="1">SUM(D16:D31)</f>
        <v>2403000</v>
      </c>
      <c r="E32" s="748"/>
      <c r="F32" s="748"/>
      <c r="G32" s="748"/>
      <c r="H32" s="748"/>
      <c r="I32" s="748"/>
      <c r="J32" s="748"/>
      <c r="K32" s="748"/>
      <c r="L32" s="748"/>
      <c r="M32" s="748"/>
      <c r="N32" s="859"/>
    </row>
    <row r="33" spans="1:14">
      <c r="A33" s="864"/>
      <c r="D33" s="863"/>
      <c r="E33" s="748"/>
      <c r="F33" s="748"/>
      <c r="G33" s="748"/>
      <c r="H33" s="748"/>
      <c r="I33" s="748"/>
      <c r="J33" s="748"/>
      <c r="K33" s="748"/>
      <c r="L33" s="748"/>
      <c r="M33" s="748"/>
      <c r="N33" s="859"/>
    </row>
    <row r="34" spans="1:14">
      <c r="A34" s="856" t="s">
        <v>353</v>
      </c>
      <c r="D34" s="865"/>
      <c r="E34" s="748"/>
      <c r="F34" s="748"/>
      <c r="G34" s="748"/>
      <c r="H34" s="748"/>
      <c r="I34" s="748"/>
      <c r="J34" s="748"/>
      <c r="K34" s="748"/>
      <c r="L34" s="748"/>
      <c r="M34" s="748"/>
      <c r="N34" s="859"/>
    </row>
    <row r="35" spans="1:14">
      <c r="A35" s="854" t="s">
        <v>331</v>
      </c>
      <c r="D35" s="862">
        <f>'Devel. Bud'!D41</f>
        <v>125000</v>
      </c>
      <c r="E35" s="748"/>
      <c r="F35" s="748"/>
      <c r="G35" s="748"/>
      <c r="H35" s="748"/>
      <c r="I35" s="748"/>
      <c r="J35" s="748">
        <f>'Source by Eligiblity'!I35</f>
        <v>125000</v>
      </c>
      <c r="K35" s="748"/>
      <c r="L35" s="748"/>
      <c r="M35" s="748"/>
      <c r="N35" s="859">
        <f t="shared" ref="N35:N41" si="1">D35-SUM(E35:M35)</f>
        <v>0</v>
      </c>
    </row>
    <row r="36" spans="1:14">
      <c r="A36" s="854" t="s">
        <v>332</v>
      </c>
      <c r="D36" s="862">
        <f>'Devel. Bud'!D42</f>
        <v>250000</v>
      </c>
      <c r="E36" s="748"/>
      <c r="F36" s="748"/>
      <c r="G36" s="748"/>
      <c r="H36" s="748"/>
      <c r="I36" s="748"/>
      <c r="J36" s="748">
        <f>'Source by Eligiblity'!I36</f>
        <v>250000</v>
      </c>
      <c r="K36" s="748"/>
      <c r="L36" s="748"/>
      <c r="M36" s="748"/>
      <c r="N36" s="859">
        <f t="shared" si="1"/>
        <v>0</v>
      </c>
    </row>
    <row r="37" spans="1:14">
      <c r="A37" s="854" t="s">
        <v>335</v>
      </c>
      <c r="D37" s="862">
        <f>'Devel. Bud'!D43</f>
        <v>100000</v>
      </c>
      <c r="E37" s="748"/>
      <c r="F37" s="748"/>
      <c r="G37" s="748"/>
      <c r="H37" s="748"/>
      <c r="I37" s="748"/>
      <c r="J37" s="748">
        <f>'Source by Eligiblity'!I37</f>
        <v>100000</v>
      </c>
      <c r="K37" s="748"/>
      <c r="L37" s="748"/>
      <c r="M37" s="748"/>
      <c r="N37" s="859">
        <f t="shared" si="1"/>
        <v>0</v>
      </c>
    </row>
    <row r="38" spans="1:14">
      <c r="A38" s="854" t="s">
        <v>479</v>
      </c>
      <c r="D38" s="862">
        <f>'Devel. Bud'!D44</f>
        <v>120000</v>
      </c>
      <c r="E38" s="748"/>
      <c r="F38" s="748"/>
      <c r="G38" s="748"/>
      <c r="H38" s="748"/>
      <c r="I38" s="748"/>
      <c r="J38" s="748">
        <f>'Source by Eligiblity'!I38</f>
        <v>120000</v>
      </c>
      <c r="K38" s="748"/>
      <c r="L38" s="748"/>
      <c r="M38" s="748"/>
      <c r="N38" s="859">
        <f t="shared" si="1"/>
        <v>0</v>
      </c>
    </row>
    <row r="39" spans="1:14" hidden="1">
      <c r="A39" s="854" t="s">
        <v>356</v>
      </c>
      <c r="D39" s="862">
        <f>'Devel. Bud'!D45</f>
        <v>0</v>
      </c>
      <c r="E39" s="748"/>
      <c r="F39" s="748"/>
      <c r="G39" s="748"/>
      <c r="H39" s="748"/>
      <c r="I39" s="748"/>
      <c r="J39" s="748">
        <f>'Source by Eligiblity'!I39</f>
        <v>0</v>
      </c>
      <c r="K39" s="748"/>
      <c r="L39" s="748"/>
      <c r="M39" s="748"/>
      <c r="N39" s="859">
        <f t="shared" si="1"/>
        <v>0</v>
      </c>
    </row>
    <row r="40" spans="1:14" hidden="1">
      <c r="A40" s="854" t="s">
        <v>401</v>
      </c>
      <c r="D40" s="862">
        <f>'Devel. Bud'!D46</f>
        <v>0</v>
      </c>
      <c r="E40" s="748"/>
      <c r="F40" s="748"/>
      <c r="G40" s="748"/>
      <c r="H40" s="748"/>
      <c r="I40" s="748"/>
      <c r="J40" s="748">
        <f>'Source by Eligiblity'!I40</f>
        <v>0</v>
      </c>
      <c r="K40" s="748"/>
      <c r="L40" s="748"/>
      <c r="M40" s="748"/>
      <c r="N40" s="859">
        <f t="shared" si="1"/>
        <v>0</v>
      </c>
    </row>
    <row r="41" spans="1:14">
      <c r="A41" s="854" t="s">
        <v>355</v>
      </c>
      <c r="D41" s="862">
        <f>'Devel. Bud'!D47</f>
        <v>5000</v>
      </c>
      <c r="E41" s="748"/>
      <c r="F41" s="748"/>
      <c r="G41" s="748"/>
      <c r="H41" s="748"/>
      <c r="I41" s="748"/>
      <c r="J41" s="748">
        <f>'Source by Eligiblity'!I41</f>
        <v>5000</v>
      </c>
      <c r="K41" s="748"/>
      <c r="L41" s="748"/>
      <c r="M41" s="748"/>
      <c r="N41" s="859">
        <f t="shared" si="1"/>
        <v>0</v>
      </c>
    </row>
    <row r="42" spans="1:14">
      <c r="A42" s="864" t="s">
        <v>66</v>
      </c>
      <c r="D42" s="863">
        <f>SUM(D35:D41)</f>
        <v>600000</v>
      </c>
      <c r="E42" s="748"/>
      <c r="F42" s="748"/>
      <c r="G42" s="748"/>
      <c r="H42" s="748"/>
      <c r="I42" s="748"/>
      <c r="J42" s="748"/>
      <c r="K42" s="748"/>
      <c r="L42" s="748"/>
      <c r="M42" s="748"/>
      <c r="N42" s="859"/>
    </row>
    <row r="43" spans="1:14">
      <c r="A43" s="854"/>
      <c r="D43" s="862"/>
      <c r="E43" s="748"/>
      <c r="F43" s="748"/>
      <c r="G43" s="748"/>
      <c r="H43" s="748"/>
      <c r="I43" s="748"/>
      <c r="J43" s="748"/>
      <c r="K43" s="748"/>
      <c r="L43" s="748"/>
      <c r="M43" s="748"/>
      <c r="N43" s="859"/>
    </row>
    <row r="44" spans="1:14">
      <c r="A44" s="856" t="s">
        <v>72</v>
      </c>
      <c r="B44" s="861"/>
      <c r="C44" s="861"/>
      <c r="D44" s="860"/>
      <c r="E44" s="748"/>
      <c r="F44" s="748"/>
      <c r="G44" s="748"/>
      <c r="H44" s="748"/>
      <c r="I44" s="748"/>
      <c r="J44" s="748"/>
      <c r="K44" s="748"/>
      <c r="L44" s="748"/>
      <c r="M44" s="748"/>
      <c r="N44" s="859"/>
    </row>
    <row r="45" spans="1:14">
      <c r="A45" s="854" t="s">
        <v>494</v>
      </c>
      <c r="D45" s="862">
        <f ca="1">'Devel. Bud'!D51</f>
        <v>245000</v>
      </c>
      <c r="E45" s="748">
        <f ca="1">'Source by Eligiblity'!E45</f>
        <v>194309.28502016328</v>
      </c>
      <c r="F45" s="748"/>
      <c r="G45" s="748"/>
      <c r="H45" s="748"/>
      <c r="I45" s="748"/>
      <c r="J45" s="748">
        <f ca="1">'Source by Eligiblity'!I45</f>
        <v>50690.714979836717</v>
      </c>
      <c r="K45" s="748"/>
      <c r="L45" s="748"/>
      <c r="M45" s="748"/>
      <c r="N45" s="859">
        <f t="shared" ref="N45:N51" ca="1" si="2">D45-SUM(E45:M45)</f>
        <v>0</v>
      </c>
    </row>
    <row r="46" spans="1:14">
      <c r="A46" s="854" t="s">
        <v>614</v>
      </c>
      <c r="D46" s="862">
        <f>'Devel. Bud'!D52</f>
        <v>109062.5</v>
      </c>
      <c r="E46" s="748">
        <f>'Source by Eligiblity'!E46</f>
        <v>109062.5</v>
      </c>
      <c r="F46" s="748"/>
      <c r="G46" s="748"/>
      <c r="H46" s="748"/>
      <c r="I46" s="748"/>
      <c r="J46" s="748">
        <f>'Source by Eligiblity'!I46</f>
        <v>0</v>
      </c>
      <c r="K46" s="748"/>
      <c r="L46" s="748"/>
      <c r="M46" s="748"/>
      <c r="N46" s="859"/>
    </row>
    <row r="47" spans="1:14">
      <c r="A47" s="854" t="s">
        <v>496</v>
      </c>
      <c r="D47" s="862">
        <f>'Devel. Bud'!D53</f>
        <v>8400</v>
      </c>
      <c r="E47" s="748">
        <f>'Source by Eligiblity'!E47</f>
        <v>8400</v>
      </c>
      <c r="F47" s="748"/>
      <c r="G47" s="748"/>
      <c r="H47" s="748"/>
      <c r="I47" s="748"/>
      <c r="J47" s="748">
        <f>'Source by Eligiblity'!I47</f>
        <v>0</v>
      </c>
      <c r="K47" s="748"/>
      <c r="L47" s="748"/>
      <c r="M47" s="748"/>
      <c r="N47" s="859">
        <f t="shared" si="2"/>
        <v>0</v>
      </c>
    </row>
    <row r="48" spans="1:14">
      <c r="A48" s="854" t="s">
        <v>194</v>
      </c>
      <c r="D48" s="862">
        <f>'Devel. Bud'!D54</f>
        <v>50000</v>
      </c>
      <c r="E48" s="748">
        <f>'Source by Eligiblity'!E48</f>
        <v>50000</v>
      </c>
      <c r="F48" s="748"/>
      <c r="G48" s="748"/>
      <c r="H48" s="748"/>
      <c r="I48" s="748"/>
      <c r="J48" s="748">
        <f>'Source by Eligiblity'!I48</f>
        <v>0</v>
      </c>
      <c r="K48" s="748"/>
      <c r="L48" s="748"/>
      <c r="M48" s="748"/>
      <c r="N48" s="859">
        <f t="shared" si="2"/>
        <v>0</v>
      </c>
    </row>
    <row r="49" spans="1:14">
      <c r="A49" s="854" t="s">
        <v>398</v>
      </c>
      <c r="D49" s="862">
        <f ca="1">'Devel. Bud'!D55</f>
        <v>42808</v>
      </c>
      <c r="E49" s="748">
        <f>'Source by Eligiblity'!E49</f>
        <v>0</v>
      </c>
      <c r="F49" s="748"/>
      <c r="G49" s="748"/>
      <c r="H49" s="748"/>
      <c r="I49" s="748"/>
      <c r="J49" s="748">
        <f ca="1">'Source by Eligiblity'!I49</f>
        <v>42808</v>
      </c>
      <c r="K49" s="748"/>
      <c r="L49" s="748"/>
      <c r="M49" s="748"/>
      <c r="N49" s="859">
        <f t="shared" ca="1" si="2"/>
        <v>0</v>
      </c>
    </row>
    <row r="50" spans="1:14">
      <c r="A50" s="854" t="s">
        <v>497</v>
      </c>
      <c r="D50" s="862">
        <f ca="1">'Devel. Bud'!D56</f>
        <v>245000</v>
      </c>
      <c r="E50" s="748">
        <f>'Source by Eligiblity'!E50</f>
        <v>0</v>
      </c>
      <c r="F50" s="748"/>
      <c r="G50" s="748"/>
      <c r="H50" s="748"/>
      <c r="I50" s="748"/>
      <c r="J50" s="748">
        <f ca="1">'Source by Eligiblity'!I50</f>
        <v>245000</v>
      </c>
      <c r="K50" s="748"/>
      <c r="L50" s="748"/>
      <c r="M50" s="748"/>
      <c r="N50" s="859">
        <f t="shared" ca="1" si="2"/>
        <v>0</v>
      </c>
    </row>
    <row r="51" spans="1:14">
      <c r="A51" s="854" t="s">
        <v>498</v>
      </c>
      <c r="D51" s="862">
        <f ca="1">'Devel. Bud'!D57</f>
        <v>294000</v>
      </c>
      <c r="E51" s="748">
        <f>'Source by Eligiblity'!E51</f>
        <v>0</v>
      </c>
      <c r="F51" s="748"/>
      <c r="G51" s="748"/>
      <c r="H51" s="748"/>
      <c r="I51" s="748"/>
      <c r="J51" s="748">
        <f ca="1">'Source by Eligiblity'!I51</f>
        <v>294000</v>
      </c>
      <c r="K51" s="748"/>
      <c r="L51" s="748"/>
      <c r="M51" s="748"/>
      <c r="N51" s="859">
        <f t="shared" ca="1" si="2"/>
        <v>0</v>
      </c>
    </row>
    <row r="52" spans="1:14">
      <c r="A52" s="864" t="s">
        <v>66</v>
      </c>
      <c r="D52" s="863">
        <f ca="1">SUM(D45:D51)</f>
        <v>994270.5</v>
      </c>
      <c r="E52" s="748"/>
      <c r="F52" s="748"/>
      <c r="G52" s="748"/>
      <c r="H52" s="748"/>
      <c r="I52" s="748"/>
      <c r="J52" s="748"/>
      <c r="K52" s="748"/>
      <c r="L52" s="748"/>
      <c r="M52" s="748"/>
      <c r="N52" s="859"/>
    </row>
    <row r="53" spans="1:14">
      <c r="A53" s="854"/>
      <c r="D53" s="862"/>
      <c r="E53" s="748"/>
      <c r="F53" s="748"/>
      <c r="G53" s="748"/>
      <c r="H53" s="748"/>
      <c r="I53" s="748"/>
      <c r="J53" s="748"/>
      <c r="K53" s="748"/>
      <c r="L53" s="748"/>
      <c r="M53" s="748"/>
      <c r="N53" s="859"/>
    </row>
    <row r="54" spans="1:14">
      <c r="A54" s="856" t="s">
        <v>80</v>
      </c>
      <c r="B54" s="861"/>
      <c r="C54" s="861"/>
      <c r="D54" s="860"/>
      <c r="E54" s="748"/>
      <c r="F54" s="748"/>
      <c r="G54" s="748"/>
      <c r="H54" s="748"/>
      <c r="I54" s="748"/>
      <c r="J54" s="748"/>
      <c r="K54" s="748"/>
      <c r="L54" s="748"/>
      <c r="M54" s="748"/>
      <c r="N54" s="859"/>
    </row>
    <row r="55" spans="1:14">
      <c r="A55" s="854" t="s">
        <v>232</v>
      </c>
      <c r="D55" s="862">
        <f ca="1">'Devel. Bud'!D64</f>
        <v>1666000</v>
      </c>
      <c r="E55" s="748">
        <f ca="1">D55</f>
        <v>1666000</v>
      </c>
      <c r="F55" s="748"/>
      <c r="G55" s="748"/>
      <c r="H55" s="748"/>
      <c r="I55" s="748"/>
      <c r="J55" s="748"/>
      <c r="K55" s="748"/>
      <c r="L55" s="748"/>
      <c r="M55" s="748"/>
      <c r="N55" s="859">
        <f t="shared" ref="N55:N68" ca="1" si="3">D55-SUM(E55:M55)</f>
        <v>0</v>
      </c>
    </row>
    <row r="56" spans="1:14">
      <c r="A56" s="854" t="s">
        <v>349</v>
      </c>
      <c r="D56" s="862">
        <f>'Devel. Bud'!D65</f>
        <v>165000</v>
      </c>
      <c r="E56" s="748"/>
      <c r="F56" s="748"/>
      <c r="G56" s="748"/>
      <c r="H56" s="748"/>
      <c r="I56" s="748"/>
      <c r="J56" s="748"/>
      <c r="K56" s="748">
        <f>D56</f>
        <v>165000</v>
      </c>
      <c r="L56" s="748"/>
      <c r="M56" s="748"/>
      <c r="N56" s="859">
        <f t="shared" si="3"/>
        <v>0</v>
      </c>
    </row>
    <row r="57" spans="1:14">
      <c r="A57" s="854" t="s">
        <v>154</v>
      </c>
      <c r="D57" s="862">
        <f>'Devel. Bud'!D66</f>
        <v>675000</v>
      </c>
      <c r="E57" s="748">
        <f>D57</f>
        <v>675000</v>
      </c>
      <c r="F57" s="748"/>
      <c r="G57" s="748"/>
      <c r="H57" s="748"/>
      <c r="I57" s="748"/>
      <c r="J57" s="748"/>
      <c r="K57" s="748"/>
      <c r="L57" s="748"/>
      <c r="M57" s="748"/>
      <c r="N57" s="859">
        <f t="shared" si="3"/>
        <v>0</v>
      </c>
    </row>
    <row r="58" spans="1:14">
      <c r="A58" s="854" t="s">
        <v>488</v>
      </c>
      <c r="D58" s="862">
        <f>'Devel. Bud'!D67</f>
        <v>450000</v>
      </c>
      <c r="E58" s="748">
        <f>D58</f>
        <v>450000</v>
      </c>
      <c r="F58" s="748"/>
      <c r="G58" s="748"/>
      <c r="H58" s="748"/>
      <c r="I58" s="748"/>
      <c r="J58" s="748"/>
      <c r="K58" s="748"/>
      <c r="L58" s="748"/>
      <c r="M58" s="748"/>
      <c r="N58" s="859">
        <f t="shared" si="3"/>
        <v>0</v>
      </c>
    </row>
    <row r="59" spans="1:14">
      <c r="A59" s="854" t="s">
        <v>489</v>
      </c>
      <c r="D59" s="862">
        <f>'Devel. Bud'!D68</f>
        <v>850000</v>
      </c>
      <c r="E59" s="748">
        <f>D59</f>
        <v>850000</v>
      </c>
      <c r="F59" s="748"/>
      <c r="G59" s="748"/>
      <c r="H59" s="748"/>
      <c r="I59" s="748"/>
      <c r="J59" s="748"/>
      <c r="K59" s="748"/>
      <c r="L59" s="748"/>
      <c r="M59" s="748"/>
      <c r="N59" s="859">
        <f t="shared" si="3"/>
        <v>0</v>
      </c>
    </row>
    <row r="60" spans="1:14">
      <c r="A60" s="854" t="s">
        <v>136</v>
      </c>
      <c r="D60" s="862">
        <f>'Devel. Bud'!D69</f>
        <v>100000</v>
      </c>
      <c r="E60" s="748">
        <f t="shared" ref="E60:E63" si="4">D60</f>
        <v>100000</v>
      </c>
      <c r="F60" s="748"/>
      <c r="G60" s="748"/>
      <c r="H60" s="748"/>
      <c r="I60" s="748"/>
      <c r="J60" s="936"/>
      <c r="K60" s="748"/>
      <c r="L60" s="748"/>
      <c r="M60" s="748"/>
      <c r="N60" s="859">
        <f t="shared" si="3"/>
        <v>0</v>
      </c>
    </row>
    <row r="61" spans="1:14">
      <c r="A61" s="854" t="s">
        <v>122</v>
      </c>
      <c r="D61" s="862">
        <f>'Devel. Bud'!D70</f>
        <v>68000</v>
      </c>
      <c r="E61" s="748">
        <f t="shared" si="4"/>
        <v>68000</v>
      </c>
      <c r="F61" s="748"/>
      <c r="G61" s="748"/>
      <c r="H61" s="748"/>
      <c r="I61" s="748"/>
      <c r="J61" s="936"/>
      <c r="K61" s="748"/>
      <c r="L61" s="748"/>
      <c r="M61" s="748"/>
      <c r="N61" s="859">
        <f t="shared" si="3"/>
        <v>0</v>
      </c>
    </row>
    <row r="62" spans="1:14">
      <c r="A62" s="854" t="s">
        <v>333</v>
      </c>
      <c r="D62" s="862">
        <f>'Devel. Bud'!D71</f>
        <v>25000</v>
      </c>
      <c r="E62" s="748">
        <f t="shared" si="4"/>
        <v>25000</v>
      </c>
      <c r="F62" s="748"/>
      <c r="G62" s="748"/>
      <c r="H62" s="748"/>
      <c r="I62" s="748"/>
      <c r="J62" s="936"/>
      <c r="K62" s="748"/>
      <c r="L62" s="748"/>
      <c r="M62" s="748"/>
      <c r="N62" s="859">
        <f t="shared" si="3"/>
        <v>0</v>
      </c>
    </row>
    <row r="63" spans="1:14">
      <c r="A63" s="854" t="s">
        <v>402</v>
      </c>
      <c r="D63" s="862">
        <f>'Devel. Bud'!D72</f>
        <v>50000</v>
      </c>
      <c r="E63" s="748">
        <f t="shared" si="4"/>
        <v>50000</v>
      </c>
      <c r="F63" s="748"/>
      <c r="G63" s="748"/>
      <c r="H63" s="748"/>
      <c r="I63" s="748"/>
      <c r="J63" s="936"/>
      <c r="K63" s="748"/>
      <c r="L63" s="748"/>
      <c r="M63" s="748"/>
      <c r="N63" s="859">
        <f t="shared" si="3"/>
        <v>0</v>
      </c>
    </row>
    <row r="64" spans="1:14">
      <c r="A64" s="854" t="s">
        <v>403</v>
      </c>
      <c r="D64" s="862">
        <f>'Devel. Bud'!D73</f>
        <v>0</v>
      </c>
      <c r="E64" s="748"/>
      <c r="F64" s="748"/>
      <c r="G64" s="748"/>
      <c r="H64" s="748"/>
      <c r="I64" s="748"/>
      <c r="J64" s="936"/>
      <c r="K64" s="748"/>
      <c r="L64" s="748">
        <f>D64</f>
        <v>0</v>
      </c>
      <c r="M64" s="748"/>
      <c r="N64" s="859">
        <f t="shared" si="3"/>
        <v>0</v>
      </c>
    </row>
    <row r="65" spans="1:14">
      <c r="A65" s="854" t="s">
        <v>211</v>
      </c>
      <c r="D65" s="862">
        <f>'Devel. Bud'!D74</f>
        <v>200000</v>
      </c>
      <c r="E65" s="748">
        <f>D65</f>
        <v>200000</v>
      </c>
      <c r="F65" s="748"/>
      <c r="G65" s="748"/>
      <c r="H65" s="748"/>
      <c r="I65" s="748"/>
      <c r="J65" s="936"/>
      <c r="K65" s="748"/>
      <c r="L65" s="748"/>
      <c r="M65" s="748"/>
      <c r="N65" s="859">
        <f t="shared" si="3"/>
        <v>0</v>
      </c>
    </row>
    <row r="66" spans="1:14">
      <c r="A66" s="854" t="s">
        <v>337</v>
      </c>
      <c r="D66" s="862">
        <f>'Devel. Bud'!D75</f>
        <v>15000</v>
      </c>
      <c r="E66" s="748">
        <f ca="1">D66-J66</f>
        <v>9317.7770534167066</v>
      </c>
      <c r="F66" s="748"/>
      <c r="G66" s="748"/>
      <c r="H66" s="748"/>
      <c r="I66" s="748"/>
      <c r="J66" s="936">
        <f ca="1">D107-SUM(J11:J65,J67:J79)</f>
        <v>5682.2229465832934</v>
      </c>
      <c r="K66" s="748"/>
      <c r="L66" s="748"/>
      <c r="M66" s="748"/>
      <c r="N66" s="859">
        <f t="shared" ca="1" si="3"/>
        <v>0</v>
      </c>
    </row>
    <row r="67" spans="1:14">
      <c r="A67" s="854" t="s">
        <v>338</v>
      </c>
      <c r="D67" s="862">
        <f>'Devel. Bud'!D76</f>
        <v>136000</v>
      </c>
      <c r="E67" s="748"/>
      <c r="F67" s="748"/>
      <c r="G67" s="748"/>
      <c r="H67" s="748"/>
      <c r="I67" s="748"/>
      <c r="J67" s="936">
        <f t="shared" ref="J67" si="5">D67</f>
        <v>136000</v>
      </c>
      <c r="K67" s="748"/>
      <c r="L67" s="748"/>
      <c r="M67" s="748"/>
      <c r="N67" s="859">
        <f t="shared" si="3"/>
        <v>0</v>
      </c>
    </row>
    <row r="68" spans="1:14">
      <c r="A68" s="854" t="s">
        <v>178</v>
      </c>
      <c r="D68" s="862">
        <f>'Devel. Bud'!D77</f>
        <v>24765.062073580004</v>
      </c>
      <c r="E68" s="748"/>
      <c r="F68" s="748"/>
      <c r="G68" s="748"/>
      <c r="H68" s="748"/>
      <c r="I68" s="748"/>
      <c r="J68" s="936">
        <f>D68</f>
        <v>24765.062073580004</v>
      </c>
      <c r="K68" s="748"/>
      <c r="L68" s="748"/>
      <c r="M68" s="748"/>
      <c r="N68" s="859">
        <f t="shared" si="3"/>
        <v>0</v>
      </c>
    </row>
    <row r="69" spans="1:14">
      <c r="A69" s="864" t="s">
        <v>66</v>
      </c>
      <c r="D69" s="863">
        <f ca="1">SUM(D55:D68)</f>
        <v>4424765.06207358</v>
      </c>
      <c r="E69" s="748"/>
      <c r="F69" s="748"/>
      <c r="G69" s="748"/>
      <c r="H69" s="748"/>
      <c r="I69" s="748"/>
      <c r="J69" s="936"/>
      <c r="K69" s="748"/>
      <c r="L69" s="748"/>
      <c r="M69" s="748"/>
      <c r="N69" s="859"/>
    </row>
    <row r="70" spans="1:14">
      <c r="A70" s="854"/>
      <c r="D70" s="862"/>
      <c r="E70" s="748"/>
      <c r="F70" s="748"/>
      <c r="G70" s="748"/>
      <c r="H70" s="748"/>
      <c r="I70" s="748"/>
      <c r="J70" s="936"/>
      <c r="K70" s="748"/>
      <c r="L70" s="748"/>
      <c r="M70" s="748"/>
      <c r="N70" s="859"/>
    </row>
    <row r="71" spans="1:14">
      <c r="A71" s="856" t="s">
        <v>73</v>
      </c>
      <c r="B71" s="861"/>
      <c r="C71" s="861"/>
      <c r="D71" s="860"/>
      <c r="E71" s="748"/>
      <c r="F71" s="748"/>
      <c r="G71" s="748"/>
      <c r="H71" s="748"/>
      <c r="I71" s="748"/>
      <c r="J71" s="936"/>
      <c r="K71" s="748"/>
      <c r="L71" s="748"/>
      <c r="M71" s="748"/>
      <c r="N71" s="859"/>
    </row>
    <row r="72" spans="1:14">
      <c r="A72" s="854" t="s">
        <v>122</v>
      </c>
      <c r="D72" s="862">
        <f>'Devel. Bud'!D81</f>
        <v>136000</v>
      </c>
      <c r="E72" s="748"/>
      <c r="F72" s="748"/>
      <c r="G72" s="748"/>
      <c r="H72" s="748"/>
      <c r="I72" s="748"/>
      <c r="J72" s="936"/>
      <c r="K72" s="748"/>
      <c r="L72" s="936">
        <f>D72</f>
        <v>136000</v>
      </c>
      <c r="M72" s="748"/>
      <c r="N72" s="859">
        <f>D72-SUM(E72:M72)</f>
        <v>0</v>
      </c>
    </row>
    <row r="73" spans="1:14">
      <c r="A73" s="854" t="s">
        <v>56</v>
      </c>
      <c r="D73" s="862">
        <f>'Devel. Bud'!D82</f>
        <v>136000</v>
      </c>
      <c r="E73" s="748"/>
      <c r="F73" s="748"/>
      <c r="G73" s="748"/>
      <c r="H73" s="748"/>
      <c r="I73" s="748"/>
      <c r="J73" s="936"/>
      <c r="K73" s="748"/>
      <c r="L73" s="748">
        <f>D73</f>
        <v>136000</v>
      </c>
      <c r="M73" s="748"/>
      <c r="N73" s="859">
        <f>D73-SUM(E73:M73)</f>
        <v>0</v>
      </c>
    </row>
    <row r="74" spans="1:14">
      <c r="A74" s="854" t="s">
        <v>202</v>
      </c>
      <c r="D74" s="862">
        <f>'Devel. Bud'!D83</f>
        <v>999223</v>
      </c>
      <c r="E74" s="748"/>
      <c r="F74" s="748"/>
      <c r="G74" s="748"/>
      <c r="H74" s="748"/>
      <c r="I74" s="748"/>
      <c r="J74" s="936"/>
      <c r="K74" s="748"/>
      <c r="L74" s="748">
        <f>D74</f>
        <v>999223</v>
      </c>
      <c r="M74" s="748"/>
      <c r="N74" s="859">
        <f>D74-SUM(E74:M74)</f>
        <v>0</v>
      </c>
    </row>
    <row r="75" spans="1:14">
      <c r="A75" s="854" t="s">
        <v>351</v>
      </c>
      <c r="D75" s="862">
        <f>'Devel. Bud'!D84</f>
        <v>774005</v>
      </c>
      <c r="E75" s="748"/>
      <c r="F75" s="748"/>
      <c r="G75" s="748"/>
      <c r="H75" s="748"/>
      <c r="I75" s="748"/>
      <c r="J75" s="936"/>
      <c r="K75" s="748"/>
      <c r="L75" s="748">
        <f>D75</f>
        <v>774005</v>
      </c>
      <c r="M75" s="748"/>
      <c r="N75" s="859">
        <f>D75-SUM(E75:M75)</f>
        <v>0</v>
      </c>
    </row>
    <row r="76" spans="1:14">
      <c r="A76" s="854" t="s">
        <v>102</v>
      </c>
      <c r="D76" s="862">
        <f ca="1">'Devel. Bud'!D85</f>
        <v>584252</v>
      </c>
      <c r="E76" s="936">
        <f ca="1">D76</f>
        <v>584252</v>
      </c>
      <c r="F76" s="936"/>
      <c r="G76" s="748"/>
      <c r="H76" s="748"/>
      <c r="I76" s="748"/>
      <c r="J76" s="936"/>
      <c r="K76" s="748"/>
      <c r="L76" s="748"/>
      <c r="M76" s="748"/>
      <c r="N76" s="859">
        <f ca="1">D76-SUM(E76:M76)</f>
        <v>0</v>
      </c>
    </row>
    <row r="77" spans="1:14">
      <c r="A77" s="864" t="s">
        <v>66</v>
      </c>
      <c r="D77" s="863">
        <f ca="1">SUM(D72:D76)</f>
        <v>2629480</v>
      </c>
      <c r="E77" s="748"/>
      <c r="F77" s="748"/>
      <c r="G77" s="748"/>
      <c r="H77" s="748"/>
      <c r="I77" s="748"/>
      <c r="J77" s="936"/>
      <c r="K77" s="748"/>
      <c r="L77" s="748"/>
      <c r="M77" s="748"/>
      <c r="N77" s="859"/>
    </row>
    <row r="78" spans="1:14">
      <c r="A78" s="854"/>
      <c r="D78" s="862"/>
      <c r="E78" s="748"/>
      <c r="F78" s="748"/>
      <c r="G78" s="748"/>
      <c r="H78" s="748"/>
      <c r="I78" s="748"/>
      <c r="J78" s="936"/>
      <c r="K78" s="748"/>
      <c r="L78" s="748"/>
      <c r="M78" s="748"/>
      <c r="N78" s="859"/>
    </row>
    <row r="79" spans="1:14">
      <c r="A79" s="856" t="s">
        <v>256</v>
      </c>
      <c r="B79" s="861"/>
      <c r="C79" s="861"/>
      <c r="D79" s="860">
        <f>'Devel. Bud'!D90</f>
        <v>5000000</v>
      </c>
      <c r="E79" s="748">
        <f>'Sources and Use'!C43-'Sources and Use'!C18</f>
        <v>500000</v>
      </c>
      <c r="F79" s="748"/>
      <c r="G79" s="748"/>
      <c r="H79" s="748"/>
      <c r="I79" s="748"/>
      <c r="K79" s="748"/>
      <c r="L79" s="748"/>
      <c r="M79" s="748">
        <f>'Sources and Use'!C18</f>
        <v>4500000</v>
      </c>
      <c r="N79" s="859">
        <f>D79-SUM(E79:M79)</f>
        <v>0</v>
      </c>
    </row>
    <row r="80" spans="1:14">
      <c r="E80" s="748"/>
      <c r="F80" s="748"/>
      <c r="G80" s="748"/>
      <c r="H80" s="748"/>
      <c r="I80" s="748"/>
      <c r="J80" s="748"/>
      <c r="K80" s="748"/>
      <c r="L80" s="748"/>
      <c r="M80" s="748"/>
      <c r="N80" s="859"/>
    </row>
    <row r="81" spans="1:14" ht="15">
      <c r="A81" s="858" t="s">
        <v>456</v>
      </c>
      <c r="D81" s="857">
        <f ca="1">SUM(D7,D13,D32,D42,D52,D69,D77,D79)</f>
        <v>41294173.562073581</v>
      </c>
      <c r="E81" s="748">
        <f ca="1">SUM(E7:E79)</f>
        <v>19599999.562073581</v>
      </c>
      <c r="F81" s="748">
        <f>SUM(F7:F79)</f>
        <v>0</v>
      </c>
      <c r="G81" s="748">
        <f t="shared" ref="G81:M81" si="6">SUM(G7:G79)</f>
        <v>2500000</v>
      </c>
      <c r="H81" s="748">
        <f t="shared" si="6"/>
        <v>11000000</v>
      </c>
      <c r="I81" s="748">
        <v>0</v>
      </c>
      <c r="J81" s="748">
        <f t="shared" ca="1" si="6"/>
        <v>1483946</v>
      </c>
      <c r="K81" s="748">
        <f t="shared" si="6"/>
        <v>165000</v>
      </c>
      <c r="L81" s="748">
        <f t="shared" si="6"/>
        <v>2045228</v>
      </c>
      <c r="M81" s="748">
        <f t="shared" si="6"/>
        <v>4500000</v>
      </c>
      <c r="N81" s="859">
        <f ca="1">D81-SUM(E81:M81)</f>
        <v>0</v>
      </c>
    </row>
    <row r="82" spans="1:14" ht="15.4" thickBot="1">
      <c r="A82" s="1091"/>
      <c r="B82" s="1092"/>
      <c r="C82" s="1092"/>
      <c r="D82" s="1093"/>
      <c r="E82" s="1094"/>
      <c r="F82" s="1094"/>
      <c r="G82" s="1094"/>
      <c r="H82" s="1094"/>
      <c r="I82" s="1094"/>
      <c r="J82" s="1094"/>
      <c r="K82" s="1094"/>
      <c r="L82" s="1094"/>
      <c r="M82" s="1094"/>
      <c r="N82" s="859"/>
    </row>
    <row r="83" spans="1:14" ht="15.4" thickTop="1">
      <c r="A83" s="858"/>
      <c r="D83" s="857"/>
      <c r="E83" s="748"/>
      <c r="F83" s="748"/>
      <c r="G83" s="748"/>
      <c r="H83" s="748"/>
      <c r="I83" s="748"/>
      <c r="J83" s="748"/>
      <c r="K83" s="748"/>
      <c r="L83" s="748"/>
      <c r="M83" s="748"/>
      <c r="N83" s="859"/>
    </row>
    <row r="84" spans="1:14" ht="15">
      <c r="A84" s="858" t="s">
        <v>601</v>
      </c>
      <c r="D84" s="857"/>
      <c r="E84" s="748"/>
      <c r="F84" s="748"/>
      <c r="G84" s="748"/>
      <c r="H84" s="748"/>
      <c r="I84" s="748"/>
      <c r="J84" s="748"/>
      <c r="K84" s="748"/>
      <c r="L84" s="748"/>
      <c r="M84" s="748"/>
      <c r="N84" s="859"/>
    </row>
    <row r="85" spans="1:14" ht="15">
      <c r="A85" s="858"/>
      <c r="D85" s="857"/>
      <c r="E85" s="748"/>
      <c r="F85" s="748"/>
      <c r="G85" s="748"/>
      <c r="H85" s="748"/>
      <c r="I85" s="748"/>
      <c r="J85" s="748"/>
      <c r="K85" s="748"/>
      <c r="L85" s="748"/>
      <c r="M85" s="748"/>
      <c r="N85" s="859"/>
    </row>
    <row r="86" spans="1:14">
      <c r="A86" s="1089" t="s">
        <v>600</v>
      </c>
      <c r="D86" s="862">
        <f ca="1">'Sources and Use'!C7</f>
        <v>19600000</v>
      </c>
      <c r="E86" s="748"/>
      <c r="F86" s="748">
        <f>'Sources and Use'!C23</f>
        <v>4725000</v>
      </c>
      <c r="G86" s="748"/>
      <c r="H86" s="748"/>
      <c r="I86" s="748">
        <f>'Sources and Use'!C27</f>
        <v>8050000</v>
      </c>
      <c r="J86" s="748">
        <f ca="1">D86-SUM(F86:I86)</f>
        <v>6825000</v>
      </c>
      <c r="K86" s="748"/>
      <c r="L86" s="748"/>
      <c r="M86" s="748"/>
      <c r="N86" s="859"/>
    </row>
    <row r="87" spans="1:14">
      <c r="A87" s="1089" t="s">
        <v>403</v>
      </c>
      <c r="D87" s="862">
        <f>D64</f>
        <v>0</v>
      </c>
      <c r="E87" s="748"/>
      <c r="F87" s="748"/>
      <c r="G87" s="748"/>
      <c r="H87" s="748"/>
      <c r="I87" s="748"/>
      <c r="J87" s="748">
        <f>D87</f>
        <v>0</v>
      </c>
      <c r="K87" s="748"/>
      <c r="L87" s="748"/>
      <c r="M87" s="748"/>
      <c r="N87" s="859"/>
    </row>
    <row r="88" spans="1:14">
      <c r="A88" s="1089" t="s">
        <v>122</v>
      </c>
      <c r="D88" s="862">
        <f>D72</f>
        <v>136000</v>
      </c>
      <c r="E88" s="748"/>
      <c r="F88" s="748"/>
      <c r="G88" s="748"/>
      <c r="H88" s="748"/>
      <c r="I88" s="748"/>
      <c r="J88" s="748">
        <f t="shared" ref="J88:J91" si="7">D88</f>
        <v>136000</v>
      </c>
      <c r="K88" s="748"/>
      <c r="L88" s="748"/>
      <c r="M88" s="748"/>
      <c r="N88" s="859"/>
    </row>
    <row r="89" spans="1:14">
      <c r="A89" s="1089" t="s">
        <v>56</v>
      </c>
      <c r="D89" s="862">
        <f t="shared" ref="D89:D91" si="8">D73</f>
        <v>136000</v>
      </c>
      <c r="E89" s="748"/>
      <c r="F89" s="748"/>
      <c r="G89" s="748"/>
      <c r="H89" s="748"/>
      <c r="I89" s="748"/>
      <c r="J89" s="748">
        <f t="shared" si="7"/>
        <v>136000</v>
      </c>
      <c r="K89" s="748"/>
      <c r="L89" s="748"/>
      <c r="M89" s="748"/>
      <c r="N89" s="859"/>
    </row>
    <row r="90" spans="1:14">
      <c r="A90" s="1089" t="s">
        <v>202</v>
      </c>
      <c r="D90" s="862">
        <f t="shared" si="8"/>
        <v>999223</v>
      </c>
      <c r="E90" s="748"/>
      <c r="F90" s="748"/>
      <c r="G90" s="748"/>
      <c r="H90" s="748"/>
      <c r="I90" s="748"/>
      <c r="J90" s="748">
        <f t="shared" si="7"/>
        <v>999223</v>
      </c>
      <c r="K90" s="748"/>
      <c r="L90" s="748"/>
      <c r="M90" s="748"/>
      <c r="N90" s="859"/>
    </row>
    <row r="91" spans="1:14">
      <c r="A91" s="1089" t="s">
        <v>351</v>
      </c>
      <c r="D91" s="862">
        <f t="shared" si="8"/>
        <v>774005</v>
      </c>
      <c r="E91" s="748"/>
      <c r="F91" s="748"/>
      <c r="G91" s="748"/>
      <c r="H91" s="748"/>
      <c r="I91" s="748"/>
      <c r="J91" s="748">
        <f t="shared" si="7"/>
        <v>774005</v>
      </c>
      <c r="K91" s="748"/>
      <c r="L91" s="748"/>
      <c r="M91" s="748"/>
      <c r="N91" s="859"/>
    </row>
    <row r="92" spans="1:14">
      <c r="A92" s="1089" t="s">
        <v>256</v>
      </c>
      <c r="D92" s="862">
        <f ca="1">'Sources and Use'!C18-'Sources and Use'!C32</f>
        <v>3354009.2229465824</v>
      </c>
      <c r="E92" s="748"/>
      <c r="F92" s="748"/>
      <c r="G92" s="748"/>
      <c r="H92" s="748"/>
      <c r="I92" s="748"/>
      <c r="J92" s="748">
        <f ca="1">D92</f>
        <v>3354009.2229465824</v>
      </c>
      <c r="K92" s="748"/>
      <c r="L92" s="748"/>
      <c r="M92" s="748"/>
      <c r="N92" s="859"/>
    </row>
    <row r="93" spans="1:14" ht="15">
      <c r="A93" s="1089"/>
      <c r="D93" s="857"/>
      <c r="E93" s="748"/>
      <c r="F93" s="748"/>
      <c r="G93" s="748"/>
      <c r="H93" s="748"/>
      <c r="I93" s="748"/>
      <c r="J93" s="748"/>
      <c r="K93" s="748"/>
      <c r="L93" s="748"/>
      <c r="M93" s="748"/>
      <c r="N93" s="859"/>
    </row>
    <row r="94" spans="1:14" ht="15">
      <c r="A94" s="858" t="s">
        <v>602</v>
      </c>
      <c r="D94" s="857">
        <f ca="1">SUM(D86:D92)</f>
        <v>24999237.222946584</v>
      </c>
      <c r="E94" s="748">
        <f t="shared" ref="E94:M94" si="9">SUM(E86:E92)</f>
        <v>0</v>
      </c>
      <c r="F94" s="748">
        <f t="shared" si="9"/>
        <v>4725000</v>
      </c>
      <c r="G94" s="748">
        <f t="shared" si="9"/>
        <v>0</v>
      </c>
      <c r="H94" s="748">
        <f t="shared" si="9"/>
        <v>0</v>
      </c>
      <c r="I94" s="748">
        <f t="shared" si="9"/>
        <v>8050000</v>
      </c>
      <c r="J94" s="748">
        <f t="shared" ca="1" si="9"/>
        <v>12224237.222946582</v>
      </c>
      <c r="K94" s="748">
        <f t="shared" si="9"/>
        <v>0</v>
      </c>
      <c r="L94" s="748">
        <f t="shared" si="9"/>
        <v>0</v>
      </c>
      <c r="M94" s="748">
        <f t="shared" si="9"/>
        <v>0</v>
      </c>
      <c r="N94" s="859"/>
    </row>
    <row r="95" spans="1:14" ht="15">
      <c r="A95" s="858"/>
      <c r="D95" s="857"/>
      <c r="N95" s="859"/>
    </row>
    <row r="96" spans="1:14" ht="15">
      <c r="A96" s="858"/>
      <c r="D96" s="857"/>
      <c r="E96" s="850">
        <f ca="1">E81-D100</f>
        <v>-0.43792641907930374</v>
      </c>
      <c r="F96" s="850"/>
      <c r="G96" s="850">
        <f>G81-D102</f>
        <v>0</v>
      </c>
      <c r="H96" s="850">
        <f>H81-D103</f>
        <v>0</v>
      </c>
      <c r="I96" s="850"/>
      <c r="J96" s="850">
        <f ca="1">J81-D107</f>
        <v>0</v>
      </c>
      <c r="K96" s="850">
        <f>K81-D109</f>
        <v>0</v>
      </c>
      <c r="L96" s="850">
        <f>L81-D110</f>
        <v>0</v>
      </c>
      <c r="M96" s="850">
        <f>M81-D111</f>
        <v>0</v>
      </c>
    </row>
    <row r="97" spans="1:10" ht="15">
      <c r="A97" s="858"/>
      <c r="D97" s="857"/>
    </row>
    <row r="99" spans="1:10">
      <c r="A99" s="856" t="s">
        <v>134</v>
      </c>
    </row>
    <row r="100" spans="1:10">
      <c r="A100" s="854" t="s">
        <v>499</v>
      </c>
      <c r="D100" s="850">
        <f ca="1">'Sources and Use'!C7</f>
        <v>19600000</v>
      </c>
      <c r="E100" s="1090"/>
      <c r="G100" s="850">
        <f ca="1">E100-D100</f>
        <v>-19600000</v>
      </c>
    </row>
    <row r="101" spans="1:10">
      <c r="A101" s="854" t="s">
        <v>500</v>
      </c>
      <c r="D101" s="850">
        <f>'Sources and Use'!C8</f>
        <v>0</v>
      </c>
      <c r="E101" s="1090">
        <f>'Sources and Use'!C23</f>
        <v>4725000</v>
      </c>
      <c r="G101" s="850">
        <f>E101-D101</f>
        <v>4725000</v>
      </c>
    </row>
    <row r="102" spans="1:10">
      <c r="A102" s="854" t="s">
        <v>156</v>
      </c>
      <c r="D102" s="850">
        <f>'Sources and Use'!C9</f>
        <v>2500000</v>
      </c>
      <c r="E102" s="1090">
        <f>'Sources and Use'!C24</f>
        <v>2500000</v>
      </c>
      <c r="F102" s="1090"/>
      <c r="G102" s="850">
        <f t="shared" ref="G102:G111" si="10">E102-D102</f>
        <v>0</v>
      </c>
      <c r="J102" s="855"/>
    </row>
    <row r="103" spans="1:10">
      <c r="A103" s="854" t="s">
        <v>480</v>
      </c>
      <c r="D103" s="850">
        <f>'Sources and Use'!C10</f>
        <v>11000000</v>
      </c>
      <c r="E103" s="1090">
        <f>'Sources and Use'!C25</f>
        <v>11000000</v>
      </c>
      <c r="F103" s="1090"/>
      <c r="G103" s="850">
        <f t="shared" si="10"/>
        <v>0</v>
      </c>
    </row>
    <row r="104" spans="1:10" hidden="1">
      <c r="A104" s="854" t="s">
        <v>481</v>
      </c>
      <c r="D104" s="850">
        <f>'Sources and Use'!C11</f>
        <v>0</v>
      </c>
      <c r="G104" s="850">
        <f t="shared" si="10"/>
        <v>0</v>
      </c>
    </row>
    <row r="105" spans="1:10">
      <c r="A105" s="854" t="s">
        <v>482</v>
      </c>
      <c r="D105" s="850">
        <f>'Sources and Use'!C12</f>
        <v>0</v>
      </c>
      <c r="E105" s="1090">
        <f>'Sources and Use'!C27</f>
        <v>8050000</v>
      </c>
      <c r="F105" s="1090"/>
      <c r="G105" s="850">
        <f t="shared" si="10"/>
        <v>8050000</v>
      </c>
    </row>
    <row r="106" spans="1:10" hidden="1">
      <c r="A106" s="854">
        <v>0</v>
      </c>
      <c r="D106" s="850">
        <f>'Sources and Use'!C13</f>
        <v>0</v>
      </c>
      <c r="E106" s="1090">
        <f>'Sources and Use'!C28</f>
        <v>0</v>
      </c>
      <c r="F106" s="1090"/>
      <c r="G106" s="850">
        <f t="shared" si="10"/>
        <v>0</v>
      </c>
    </row>
    <row r="107" spans="1:10">
      <c r="A107" s="854" t="s">
        <v>281</v>
      </c>
      <c r="D107" s="850">
        <f ca="1">'Sources and Use'!C14</f>
        <v>1483946</v>
      </c>
      <c r="E107" s="1090">
        <f ca="1">'Sources and Use'!C29</f>
        <v>13708183</v>
      </c>
      <c r="F107" s="1090"/>
      <c r="G107" s="850">
        <f t="shared" ca="1" si="10"/>
        <v>12224237</v>
      </c>
    </row>
    <row r="108" spans="1:10" hidden="1">
      <c r="A108" s="854" t="s">
        <v>113</v>
      </c>
      <c r="D108" s="850">
        <f>'Sources and Use'!C15</f>
        <v>0</v>
      </c>
      <c r="G108" s="850">
        <f t="shared" si="10"/>
        <v>0</v>
      </c>
    </row>
    <row r="109" spans="1:10">
      <c r="A109" s="854" t="s">
        <v>348</v>
      </c>
      <c r="D109" s="850">
        <f>'Sources and Use'!C16</f>
        <v>165000</v>
      </c>
      <c r="E109" s="1090">
        <f>'Sources and Use'!C31</f>
        <v>165000</v>
      </c>
      <c r="F109" s="1090"/>
      <c r="G109" s="850">
        <f t="shared" si="10"/>
        <v>0</v>
      </c>
    </row>
    <row r="110" spans="1:10">
      <c r="A110" s="854" t="s">
        <v>19</v>
      </c>
      <c r="B110" s="853"/>
      <c r="D110" s="850">
        <f>'Sources and Use'!C17</f>
        <v>2045228</v>
      </c>
      <c r="E110" s="847">
        <v>0</v>
      </c>
      <c r="G110" s="850">
        <f t="shared" si="10"/>
        <v>-2045228</v>
      </c>
    </row>
    <row r="111" spans="1:10">
      <c r="A111" s="854" t="s">
        <v>280</v>
      </c>
      <c r="B111" s="853"/>
      <c r="D111" s="850">
        <f>'Sources and Use'!C18</f>
        <v>4500000</v>
      </c>
      <c r="E111" s="1090">
        <f ca="1">'Sources and Use'!C32</f>
        <v>1145990.7770534179</v>
      </c>
      <c r="F111" s="1090"/>
      <c r="G111" s="850">
        <f t="shared" ca="1" si="10"/>
        <v>-3354009.2229465824</v>
      </c>
    </row>
    <row r="112" spans="1:10">
      <c r="A112" s="853" t="s">
        <v>107</v>
      </c>
      <c r="B112" s="853"/>
      <c r="D112" s="852">
        <f ca="1">SUM(D100:D111)</f>
        <v>41294174</v>
      </c>
    </row>
    <row r="113" spans="1:4">
      <c r="A113" s="851" t="s">
        <v>452</v>
      </c>
      <c r="D113" s="850"/>
    </row>
    <row r="116" spans="1:4">
      <c r="A116" s="742" t="s">
        <v>82</v>
      </c>
      <c r="B116" s="743"/>
      <c r="D116" s="744">
        <f>'Sources and Use'!C37</f>
        <v>2500000</v>
      </c>
    </row>
    <row r="117" spans="1:4">
      <c r="A117" s="742" t="s">
        <v>46</v>
      </c>
      <c r="B117" s="743"/>
      <c r="D117" s="744">
        <f>'Sources and Use'!C38</f>
        <v>22742658</v>
      </c>
    </row>
    <row r="118" spans="1:4">
      <c r="A118" s="742" t="s">
        <v>44</v>
      </c>
      <c r="B118" s="743"/>
      <c r="D118" s="744">
        <f ca="1">'Sources and Use'!C39</f>
        <v>2403000</v>
      </c>
    </row>
    <row r="119" spans="1:4">
      <c r="A119" s="742" t="s">
        <v>45</v>
      </c>
      <c r="B119" s="743"/>
      <c r="D119" s="744">
        <f ca="1">'Sources and Use'!C40</f>
        <v>1594270.5</v>
      </c>
    </row>
    <row r="120" spans="1:4">
      <c r="A120" s="742" t="s">
        <v>80</v>
      </c>
      <c r="B120" s="743"/>
      <c r="D120" s="744">
        <f ca="1">'Sources and Use'!C41</f>
        <v>4424765.06207358</v>
      </c>
    </row>
    <row r="121" spans="1:4">
      <c r="A121" s="742" t="s">
        <v>73</v>
      </c>
      <c r="B121" s="743"/>
      <c r="D121" s="744">
        <f ca="1">'Sources and Use'!C42</f>
        <v>2629480</v>
      </c>
    </row>
    <row r="122" spans="1:4">
      <c r="A122" s="742" t="s">
        <v>256</v>
      </c>
      <c r="B122" s="743"/>
      <c r="C122" s="743"/>
      <c r="D122" s="849">
        <f>'Sources and Use'!C43</f>
        <v>5000000</v>
      </c>
    </row>
    <row r="123" spans="1:4">
      <c r="A123" s="848" t="s">
        <v>39</v>
      </c>
      <c r="B123" s="848"/>
      <c r="C123" s="848"/>
      <c r="D123" s="746">
        <f ca="1">SUM(D116:D122)</f>
        <v>41294173.562073581</v>
      </c>
    </row>
  </sheetData>
  <mergeCells count="2">
    <mergeCell ref="E5:M5"/>
    <mergeCell ref="D5:D6"/>
  </mergeCells>
  <pageMargins left="0.7" right="0.7" top="0.75" bottom="0.75" header="0.3" footer="0.3"/>
  <pageSetup paperSize="3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8C1F5-FF69-4D87-8933-D85EAA313696}">
  <sheetPr>
    <pageSetUpPr fitToPage="1"/>
  </sheetPr>
  <dimension ref="A1:L108"/>
  <sheetViews>
    <sheetView view="pageBreakPreview" zoomScale="90" zoomScaleNormal="96" zoomScaleSheetLayoutView="90" workbookViewId="0">
      <selection activeCell="A2" sqref="A2"/>
    </sheetView>
  </sheetViews>
  <sheetFormatPr defaultColWidth="6.77734375" defaultRowHeight="11.65"/>
  <cols>
    <col min="1" max="1" width="28.83203125" style="847" customWidth="1"/>
    <col min="2" max="2" width="9.21875" style="847" bestFit="1" customWidth="1"/>
    <col min="3" max="3" width="4.6640625" style="847" customWidth="1"/>
    <col min="4" max="5" width="13.6640625" style="847" customWidth="1"/>
    <col min="6" max="11" width="13.5546875" style="847" customWidth="1"/>
    <col min="12" max="12" width="14.21875" style="847" customWidth="1"/>
    <col min="13" max="16384" width="6.77734375" style="847"/>
  </cols>
  <sheetData>
    <row r="1" spans="1:12" ht="17.649999999999999">
      <c r="A1" s="879" t="str">
        <f>'Sources and Use'!A1</f>
        <v>MDG Design and Construction</v>
      </c>
      <c r="B1" s="879"/>
      <c r="C1" s="879"/>
      <c r="D1" s="879"/>
      <c r="E1" s="879"/>
      <c r="F1" s="879"/>
      <c r="G1" s="879"/>
      <c r="H1" s="879"/>
      <c r="I1" s="879"/>
      <c r="J1" s="879"/>
      <c r="K1" s="879"/>
    </row>
    <row r="2" spans="1:12" s="870" customFormat="1" ht="17.649999999999999">
      <c r="A2" s="879" t="str">
        <f>'Sources and Use'!A2</f>
        <v>Virgin Islands: Piggy/Hamilton RAD</v>
      </c>
      <c r="B2" s="879"/>
      <c r="C2" s="879"/>
      <c r="D2" s="879"/>
      <c r="E2" s="879"/>
      <c r="F2" s="879"/>
      <c r="G2" s="879"/>
      <c r="H2" s="879"/>
      <c r="I2" s="879"/>
      <c r="J2" s="879"/>
      <c r="K2" s="879"/>
    </row>
    <row r="3" spans="1:12" s="870" customFormat="1" ht="18" thickBot="1">
      <c r="A3" s="879" t="str">
        <f>'Sources and Use'!A3</f>
        <v>4% LIHTC and FEMA/CDBG-DR</v>
      </c>
      <c r="B3" s="878"/>
      <c r="C3" s="878"/>
      <c r="D3" s="878"/>
      <c r="E3" s="878"/>
      <c r="F3" s="878"/>
      <c r="G3" s="878"/>
      <c r="H3" s="878"/>
      <c r="I3" s="878"/>
      <c r="J3" s="878"/>
      <c r="K3" s="878"/>
    </row>
    <row r="4" spans="1:12" s="870" customFormat="1" ht="15">
      <c r="A4" s="877" t="s">
        <v>605</v>
      </c>
      <c r="B4" s="877"/>
      <c r="C4" s="877"/>
      <c r="D4" s="877"/>
      <c r="E4" s="877"/>
      <c r="F4" s="877"/>
      <c r="G4" s="877"/>
      <c r="H4" s="877"/>
      <c r="I4" s="877"/>
      <c r="J4" s="877"/>
      <c r="K4" s="877"/>
    </row>
    <row r="5" spans="1:12" s="870" customFormat="1" ht="15">
      <c r="A5" s="876"/>
      <c r="B5" s="876"/>
      <c r="C5" s="876"/>
      <c r="D5" s="1137" t="s">
        <v>74</v>
      </c>
      <c r="E5" s="1137" t="s">
        <v>100</v>
      </c>
      <c r="F5" s="1137"/>
      <c r="G5" s="1137"/>
      <c r="H5" s="1137"/>
      <c r="I5" s="1137"/>
      <c r="J5" s="1137"/>
      <c r="K5" s="1137"/>
    </row>
    <row r="6" spans="1:12" s="870" customFormat="1" ht="23.25">
      <c r="A6" s="875"/>
      <c r="B6" s="874"/>
      <c r="D6" s="1137"/>
      <c r="E6" s="873" t="s">
        <v>500</v>
      </c>
      <c r="F6" s="873" t="s">
        <v>156</v>
      </c>
      <c r="G6" s="873" t="s">
        <v>521</v>
      </c>
      <c r="H6" s="873" t="s">
        <v>520</v>
      </c>
      <c r="I6" s="873" t="s">
        <v>281</v>
      </c>
      <c r="J6" s="873" t="s">
        <v>348</v>
      </c>
      <c r="K6" s="873" t="s">
        <v>280</v>
      </c>
    </row>
    <row r="7" spans="1:12" s="870" customFormat="1" ht="15">
      <c r="A7" s="872" t="s">
        <v>82</v>
      </c>
      <c r="D7" s="871">
        <f>'Devel. Bud'!D12</f>
        <v>2500000</v>
      </c>
      <c r="E7" s="871"/>
      <c r="F7" s="880">
        <f>D7</f>
        <v>2500000</v>
      </c>
      <c r="G7" s="880"/>
      <c r="H7" s="880"/>
      <c r="I7" s="880"/>
      <c r="J7" s="880"/>
      <c r="K7" s="880"/>
      <c r="L7" s="859">
        <f>D7-SUM(E7:K7)</f>
        <v>0</v>
      </c>
    </row>
    <row r="8" spans="1:12" ht="15">
      <c r="A8" s="856"/>
      <c r="D8" s="869"/>
      <c r="E8" s="869"/>
      <c r="F8" s="748"/>
      <c r="G8" s="748"/>
      <c r="H8" s="748"/>
      <c r="I8" s="748"/>
      <c r="J8" s="748"/>
      <c r="K8" s="748"/>
    </row>
    <row r="9" spans="1:12">
      <c r="A9" s="856" t="s">
        <v>451</v>
      </c>
      <c r="B9" s="851"/>
      <c r="C9" s="851"/>
      <c r="F9" s="748"/>
      <c r="G9" s="748"/>
      <c r="H9" s="748"/>
      <c r="I9" s="748"/>
      <c r="J9" s="748"/>
      <c r="K9" s="748"/>
    </row>
    <row r="10" spans="1:12">
      <c r="A10" s="856"/>
      <c r="B10" s="851"/>
      <c r="C10" s="851"/>
      <c r="D10" s="851"/>
      <c r="E10" s="851"/>
      <c r="F10" s="748"/>
      <c r="G10" s="748"/>
      <c r="H10" s="748"/>
      <c r="I10" s="748"/>
      <c r="J10" s="748"/>
      <c r="K10" s="748"/>
    </row>
    <row r="11" spans="1:12">
      <c r="A11" s="864" t="s">
        <v>519</v>
      </c>
      <c r="B11" s="851"/>
      <c r="C11" s="851"/>
      <c r="D11" s="863">
        <f>'Devel. Bud'!D17</f>
        <v>20675143</v>
      </c>
      <c r="E11" s="863"/>
      <c r="F11" s="748"/>
      <c r="G11" s="748">
        <f>'Sources and Use'!C25</f>
        <v>11000000</v>
      </c>
      <c r="H11" s="748">
        <f>'Sources and Use'!C27</f>
        <v>8050000</v>
      </c>
      <c r="I11" s="748">
        <f>D11-G11-H11</f>
        <v>1625143</v>
      </c>
      <c r="J11" s="748"/>
      <c r="K11" s="748"/>
      <c r="L11" s="859">
        <f t="shared" ref="L11:L12" si="0">D11-SUM(E11:K11)</f>
        <v>0</v>
      </c>
    </row>
    <row r="12" spans="1:12">
      <c r="A12" s="856" t="s">
        <v>454</v>
      </c>
      <c r="D12" s="882">
        <f>'Devel. Bud'!D18</f>
        <v>2067515</v>
      </c>
      <c r="E12" s="1112"/>
      <c r="F12" s="748"/>
      <c r="G12" s="748"/>
      <c r="H12" s="748"/>
      <c r="I12" s="748">
        <v>2067515</v>
      </c>
      <c r="J12" s="748"/>
      <c r="K12" s="748"/>
      <c r="L12" s="859">
        <f t="shared" si="0"/>
        <v>0</v>
      </c>
    </row>
    <row r="13" spans="1:12">
      <c r="A13" s="856" t="s">
        <v>455</v>
      </c>
      <c r="D13" s="868">
        <f>SUM(D11:D12)</f>
        <v>22742658</v>
      </c>
      <c r="E13" s="868"/>
      <c r="F13" s="748"/>
      <c r="G13" s="748"/>
      <c r="H13" s="748"/>
      <c r="I13" s="748"/>
      <c r="J13" s="748"/>
      <c r="K13" s="748"/>
      <c r="L13" s="859"/>
    </row>
    <row r="14" spans="1:12" ht="15">
      <c r="A14" s="856"/>
      <c r="D14" s="867"/>
      <c r="E14" s="867"/>
      <c r="F14" s="748"/>
      <c r="G14" s="748"/>
      <c r="H14" s="748"/>
      <c r="I14" s="748"/>
      <c r="J14" s="748"/>
      <c r="K14" s="748"/>
    </row>
    <row r="15" spans="1:12" ht="15">
      <c r="A15" s="856" t="s">
        <v>84</v>
      </c>
      <c r="D15" s="866"/>
      <c r="E15" s="866"/>
      <c r="F15" s="748"/>
      <c r="G15" s="748"/>
      <c r="H15" s="748"/>
      <c r="I15" s="748"/>
      <c r="J15" s="748"/>
      <c r="K15" s="748"/>
      <c r="L15" s="859"/>
    </row>
    <row r="16" spans="1:12">
      <c r="A16" s="854" t="s">
        <v>305</v>
      </c>
      <c r="D16" s="862">
        <f>'Devel. Bud'!D22</f>
        <v>300000</v>
      </c>
      <c r="E16" s="862">
        <f>D16</f>
        <v>300000</v>
      </c>
      <c r="F16" s="748"/>
      <c r="G16" s="748"/>
      <c r="H16" s="748"/>
      <c r="I16" s="748"/>
      <c r="J16" s="748"/>
      <c r="K16" s="748"/>
      <c r="L16" s="859">
        <f t="shared" ref="L16:L31" si="1">D16-SUM(E16:K16)</f>
        <v>0</v>
      </c>
    </row>
    <row r="17" spans="1:12">
      <c r="A17" s="854" t="s">
        <v>65</v>
      </c>
      <c r="D17" s="862">
        <f>'Devel. Bud'!D23</f>
        <v>1150000</v>
      </c>
      <c r="E17" s="862">
        <f t="shared" ref="E17:E29" si="2">D17</f>
        <v>1150000</v>
      </c>
      <c r="F17" s="748"/>
      <c r="G17" s="748"/>
      <c r="H17" s="748"/>
      <c r="I17" s="748"/>
      <c r="J17" s="748"/>
      <c r="K17" s="748"/>
      <c r="L17" s="859">
        <f t="shared" si="1"/>
        <v>0</v>
      </c>
    </row>
    <row r="18" spans="1:12">
      <c r="A18" s="854" t="s">
        <v>308</v>
      </c>
      <c r="D18" s="862">
        <f>'Devel. Bud'!D24</f>
        <v>100000</v>
      </c>
      <c r="E18" s="862">
        <f t="shared" si="2"/>
        <v>100000</v>
      </c>
      <c r="F18" s="748"/>
      <c r="G18" s="748"/>
      <c r="H18" s="748"/>
      <c r="I18" s="748"/>
      <c r="J18" s="748"/>
      <c r="K18" s="748"/>
      <c r="L18" s="859">
        <f t="shared" si="1"/>
        <v>0</v>
      </c>
    </row>
    <row r="19" spans="1:12">
      <c r="A19" s="854" t="s">
        <v>209</v>
      </c>
      <c r="D19" s="862">
        <f>'Devel. Bud'!D25</f>
        <v>60000</v>
      </c>
      <c r="E19" s="862">
        <f t="shared" si="2"/>
        <v>60000</v>
      </c>
      <c r="F19" s="748"/>
      <c r="G19" s="748"/>
      <c r="H19" s="748"/>
      <c r="I19" s="748"/>
      <c r="J19" s="748"/>
      <c r="K19" s="748"/>
      <c r="L19" s="859">
        <f t="shared" si="1"/>
        <v>0</v>
      </c>
    </row>
    <row r="20" spans="1:12">
      <c r="A20" s="854" t="s">
        <v>120</v>
      </c>
      <c r="D20" s="862">
        <f>'Devel. Bud'!D26</f>
        <v>100000</v>
      </c>
      <c r="E20" s="862">
        <f t="shared" si="2"/>
        <v>100000</v>
      </c>
      <c r="F20" s="748"/>
      <c r="G20" s="748"/>
      <c r="H20" s="748"/>
      <c r="I20" s="748"/>
      <c r="J20" s="748"/>
      <c r="K20" s="748"/>
      <c r="L20" s="859">
        <f t="shared" si="1"/>
        <v>0</v>
      </c>
    </row>
    <row r="21" spans="1:12">
      <c r="A21" s="854" t="s">
        <v>85</v>
      </c>
      <c r="D21" s="862">
        <f>'Devel. Bud'!D27</f>
        <v>75000</v>
      </c>
      <c r="E21" s="862">
        <f t="shared" si="2"/>
        <v>75000</v>
      </c>
      <c r="F21" s="748"/>
      <c r="G21" s="748"/>
      <c r="H21" s="748"/>
      <c r="I21" s="748"/>
      <c r="J21" s="748"/>
      <c r="K21" s="748"/>
      <c r="L21" s="859">
        <f t="shared" si="1"/>
        <v>0</v>
      </c>
    </row>
    <row r="22" spans="1:12">
      <c r="A22" s="854" t="s">
        <v>210</v>
      </c>
      <c r="D22" s="862">
        <f>'Devel. Bud'!D28</f>
        <v>75000</v>
      </c>
      <c r="E22" s="862">
        <f t="shared" si="2"/>
        <v>75000</v>
      </c>
      <c r="F22" s="748"/>
      <c r="G22" s="748"/>
      <c r="H22" s="748"/>
      <c r="I22" s="748"/>
      <c r="J22" s="748"/>
      <c r="K22" s="748"/>
      <c r="L22" s="859">
        <f t="shared" si="1"/>
        <v>0</v>
      </c>
    </row>
    <row r="23" spans="1:12">
      <c r="A23" s="854" t="s">
        <v>86</v>
      </c>
      <c r="D23" s="862">
        <f>'Devel. Bud'!D29</f>
        <v>47500</v>
      </c>
      <c r="E23" s="862">
        <f t="shared" si="2"/>
        <v>47500</v>
      </c>
      <c r="F23" s="748"/>
      <c r="G23" s="748"/>
      <c r="H23" s="748"/>
      <c r="I23" s="748"/>
      <c r="J23" s="748"/>
      <c r="K23" s="748"/>
      <c r="L23" s="859">
        <f t="shared" si="1"/>
        <v>0</v>
      </c>
    </row>
    <row r="24" spans="1:12">
      <c r="A24" s="854" t="s">
        <v>334</v>
      </c>
      <c r="D24" s="862">
        <f>'Devel. Bud'!D30</f>
        <v>7500</v>
      </c>
      <c r="E24" s="862">
        <f t="shared" si="2"/>
        <v>7500</v>
      </c>
      <c r="F24" s="748"/>
      <c r="G24" s="748"/>
      <c r="H24" s="748"/>
      <c r="I24" s="748"/>
      <c r="J24" s="748"/>
      <c r="K24" s="748"/>
      <c r="L24" s="859">
        <f t="shared" si="1"/>
        <v>0</v>
      </c>
    </row>
    <row r="25" spans="1:12">
      <c r="A25" s="854" t="s">
        <v>81</v>
      </c>
      <c r="D25" s="862">
        <f>'Devel. Bud'!D31</f>
        <v>10000</v>
      </c>
      <c r="E25" s="862">
        <f t="shared" si="2"/>
        <v>10000</v>
      </c>
      <c r="F25" s="748"/>
      <c r="G25" s="748"/>
      <c r="H25" s="748"/>
      <c r="I25" s="748"/>
      <c r="J25" s="748"/>
      <c r="K25" s="748"/>
      <c r="L25" s="859">
        <f t="shared" si="1"/>
        <v>0</v>
      </c>
    </row>
    <row r="26" spans="1:12">
      <c r="A26" s="854" t="s">
        <v>518</v>
      </c>
      <c r="D26" s="862">
        <f ca="1">'Devel. Bud'!D32</f>
        <v>218000</v>
      </c>
      <c r="E26" s="862">
        <f t="shared" ca="1" si="2"/>
        <v>218000</v>
      </c>
      <c r="F26" s="748"/>
      <c r="G26" s="748"/>
      <c r="H26" s="748"/>
      <c r="I26" s="748"/>
      <c r="J26" s="748"/>
      <c r="K26" s="748"/>
      <c r="L26" s="859">
        <f t="shared" ca="1" si="1"/>
        <v>0</v>
      </c>
    </row>
    <row r="27" spans="1:12">
      <c r="A27" s="854" t="s">
        <v>284</v>
      </c>
      <c r="D27" s="862">
        <f>'Devel. Bud'!D33</f>
        <v>10000</v>
      </c>
      <c r="E27" s="862"/>
      <c r="F27" s="748"/>
      <c r="G27" s="748"/>
      <c r="H27" s="748"/>
      <c r="I27" s="748">
        <f>D27</f>
        <v>10000</v>
      </c>
      <c r="J27" s="748"/>
      <c r="K27" s="748"/>
      <c r="L27" s="859">
        <f t="shared" si="1"/>
        <v>0</v>
      </c>
    </row>
    <row r="28" spans="1:12">
      <c r="A28" s="854" t="s">
        <v>22</v>
      </c>
      <c r="D28" s="862">
        <f>'Devel. Bud'!D34</f>
        <v>75000</v>
      </c>
      <c r="E28" s="862">
        <f t="shared" si="2"/>
        <v>75000</v>
      </c>
      <c r="F28" s="748"/>
      <c r="G28" s="748"/>
      <c r="H28" s="748"/>
      <c r="I28" s="748"/>
      <c r="J28" s="748"/>
      <c r="K28" s="748"/>
      <c r="L28" s="859">
        <f t="shared" si="1"/>
        <v>0</v>
      </c>
    </row>
    <row r="29" spans="1:12">
      <c r="A29" s="854" t="s">
        <v>23</v>
      </c>
      <c r="D29" s="862">
        <f>'Devel. Bud'!D35</f>
        <v>100000</v>
      </c>
      <c r="E29" s="862">
        <f t="shared" si="2"/>
        <v>100000</v>
      </c>
      <c r="F29" s="748"/>
      <c r="G29" s="748"/>
      <c r="H29" s="748"/>
      <c r="I29" s="748"/>
      <c r="J29" s="748"/>
      <c r="K29" s="748"/>
      <c r="L29" s="859">
        <f t="shared" si="1"/>
        <v>0</v>
      </c>
    </row>
    <row r="30" spans="1:12">
      <c r="A30" s="854" t="s">
        <v>124</v>
      </c>
      <c r="D30" s="862">
        <f>'Devel. Bud'!D36</f>
        <v>25000</v>
      </c>
      <c r="E30" s="862"/>
      <c r="F30" s="748"/>
      <c r="G30" s="748"/>
      <c r="H30" s="748"/>
      <c r="I30" s="748">
        <f>D30</f>
        <v>25000</v>
      </c>
      <c r="J30" s="748"/>
      <c r="K30" s="748"/>
      <c r="L30" s="859">
        <f t="shared" si="1"/>
        <v>0</v>
      </c>
    </row>
    <row r="31" spans="1:12">
      <c r="A31" s="854" t="s">
        <v>336</v>
      </c>
      <c r="D31" s="862">
        <f>'Devel. Bud'!D37</f>
        <v>50000</v>
      </c>
      <c r="E31" s="862"/>
      <c r="F31" s="748"/>
      <c r="G31" s="748"/>
      <c r="H31" s="748"/>
      <c r="I31" s="748">
        <f>D31</f>
        <v>50000</v>
      </c>
      <c r="J31" s="748"/>
      <c r="K31" s="748"/>
      <c r="L31" s="859">
        <f t="shared" si="1"/>
        <v>0</v>
      </c>
    </row>
    <row r="32" spans="1:12">
      <c r="A32" s="864" t="s">
        <v>66</v>
      </c>
      <c r="D32" s="863">
        <f ca="1">SUM(D16:D31)</f>
        <v>2403000</v>
      </c>
      <c r="E32" s="863"/>
      <c r="F32" s="748"/>
      <c r="G32" s="748"/>
      <c r="H32" s="748"/>
      <c r="I32" s="748"/>
      <c r="J32" s="748"/>
      <c r="K32" s="748"/>
      <c r="L32" s="859"/>
    </row>
    <row r="33" spans="1:12">
      <c r="A33" s="864"/>
      <c r="D33" s="863"/>
      <c r="E33" s="863"/>
      <c r="F33" s="748"/>
      <c r="G33" s="748"/>
      <c r="H33" s="748"/>
      <c r="I33" s="748"/>
      <c r="J33" s="748"/>
      <c r="K33" s="748"/>
      <c r="L33" s="859"/>
    </row>
    <row r="34" spans="1:12">
      <c r="A34" s="856" t="s">
        <v>353</v>
      </c>
      <c r="D34" s="865"/>
      <c r="E34" s="865"/>
      <c r="F34" s="748"/>
      <c r="G34" s="748"/>
      <c r="H34" s="748"/>
      <c r="I34" s="748"/>
      <c r="J34" s="748"/>
      <c r="K34" s="748"/>
      <c r="L34" s="859"/>
    </row>
    <row r="35" spans="1:12">
      <c r="A35" s="854" t="s">
        <v>331</v>
      </c>
      <c r="D35" s="862">
        <f>'Devel. Bud'!D41</f>
        <v>125000</v>
      </c>
      <c r="E35" s="862"/>
      <c r="F35" s="748"/>
      <c r="G35" s="748"/>
      <c r="H35" s="748"/>
      <c r="I35" s="748">
        <f>D35</f>
        <v>125000</v>
      </c>
      <c r="J35" s="748"/>
      <c r="K35" s="748"/>
      <c r="L35" s="859">
        <f t="shared" ref="L35:L41" si="3">D35-SUM(E35:K35)</f>
        <v>0</v>
      </c>
    </row>
    <row r="36" spans="1:12">
      <c r="A36" s="854" t="s">
        <v>332</v>
      </c>
      <c r="D36" s="862">
        <f>'Devel. Bud'!D42</f>
        <v>250000</v>
      </c>
      <c r="E36" s="862"/>
      <c r="F36" s="748"/>
      <c r="G36" s="748"/>
      <c r="H36" s="748"/>
      <c r="I36" s="748">
        <f t="shared" ref="I36:I41" si="4">D36</f>
        <v>250000</v>
      </c>
      <c r="J36" s="748"/>
      <c r="K36" s="748"/>
      <c r="L36" s="859">
        <f t="shared" si="3"/>
        <v>0</v>
      </c>
    </row>
    <row r="37" spans="1:12">
      <c r="A37" s="854" t="s">
        <v>335</v>
      </c>
      <c r="D37" s="862">
        <f>'Devel. Bud'!D43</f>
        <v>100000</v>
      </c>
      <c r="E37" s="862"/>
      <c r="F37" s="748"/>
      <c r="G37" s="748"/>
      <c r="H37" s="748"/>
      <c r="I37" s="748">
        <f t="shared" si="4"/>
        <v>100000</v>
      </c>
      <c r="J37" s="748"/>
      <c r="K37" s="748"/>
      <c r="L37" s="859">
        <f t="shared" si="3"/>
        <v>0</v>
      </c>
    </row>
    <row r="38" spans="1:12">
      <c r="A38" s="854" t="s">
        <v>479</v>
      </c>
      <c r="D38" s="862">
        <f>'Devel. Bud'!D44</f>
        <v>120000</v>
      </c>
      <c r="E38" s="862"/>
      <c r="F38" s="748"/>
      <c r="G38" s="748"/>
      <c r="H38" s="748"/>
      <c r="I38" s="748">
        <f t="shared" si="4"/>
        <v>120000</v>
      </c>
      <c r="J38" s="748"/>
      <c r="K38" s="748"/>
      <c r="L38" s="859">
        <f t="shared" si="3"/>
        <v>0</v>
      </c>
    </row>
    <row r="39" spans="1:12" hidden="1">
      <c r="A39" s="854" t="s">
        <v>356</v>
      </c>
      <c r="D39" s="862">
        <f>'Devel. Bud'!D45</f>
        <v>0</v>
      </c>
      <c r="E39" s="862"/>
      <c r="F39" s="748"/>
      <c r="G39" s="748"/>
      <c r="H39" s="748"/>
      <c r="I39" s="748">
        <f t="shared" si="4"/>
        <v>0</v>
      </c>
      <c r="J39" s="748"/>
      <c r="K39" s="748"/>
      <c r="L39" s="859">
        <f t="shared" si="3"/>
        <v>0</v>
      </c>
    </row>
    <row r="40" spans="1:12" hidden="1">
      <c r="A40" s="854" t="s">
        <v>401</v>
      </c>
      <c r="D40" s="862">
        <f>'Devel. Bud'!D46</f>
        <v>0</v>
      </c>
      <c r="E40" s="862"/>
      <c r="F40" s="748"/>
      <c r="G40" s="748"/>
      <c r="H40" s="748"/>
      <c r="I40" s="748">
        <f t="shared" si="4"/>
        <v>0</v>
      </c>
      <c r="J40" s="748"/>
      <c r="K40" s="748"/>
      <c r="L40" s="859">
        <f t="shared" si="3"/>
        <v>0</v>
      </c>
    </row>
    <row r="41" spans="1:12">
      <c r="A41" s="854" t="s">
        <v>355</v>
      </c>
      <c r="D41" s="862">
        <f>'Devel. Bud'!D47</f>
        <v>5000</v>
      </c>
      <c r="E41" s="862"/>
      <c r="F41" s="748"/>
      <c r="G41" s="748"/>
      <c r="H41" s="748"/>
      <c r="I41" s="748">
        <f t="shared" si="4"/>
        <v>5000</v>
      </c>
      <c r="J41" s="748"/>
      <c r="K41" s="748"/>
      <c r="L41" s="859">
        <f t="shared" si="3"/>
        <v>0</v>
      </c>
    </row>
    <row r="42" spans="1:12">
      <c r="A42" s="864" t="s">
        <v>66</v>
      </c>
      <c r="D42" s="863">
        <f>SUM(D35:D41)</f>
        <v>600000</v>
      </c>
      <c r="E42" s="863"/>
      <c r="F42" s="748"/>
      <c r="G42" s="748"/>
      <c r="H42" s="748"/>
      <c r="I42" s="748"/>
      <c r="J42" s="748"/>
      <c r="K42" s="748"/>
      <c r="L42" s="859"/>
    </row>
    <row r="43" spans="1:12">
      <c r="A43" s="854"/>
      <c r="D43" s="862"/>
      <c r="E43" s="862"/>
      <c r="F43" s="748"/>
      <c r="G43" s="748"/>
      <c r="H43" s="748"/>
      <c r="I43" s="748"/>
      <c r="J43" s="748"/>
      <c r="K43" s="748"/>
      <c r="L43" s="859"/>
    </row>
    <row r="44" spans="1:12">
      <c r="A44" s="856" t="s">
        <v>72</v>
      </c>
      <c r="B44" s="861"/>
      <c r="C44" s="861"/>
      <c r="D44" s="860"/>
      <c r="E44" s="860"/>
      <c r="F44" s="748"/>
      <c r="G44" s="748"/>
      <c r="H44" s="748"/>
      <c r="I44" s="748"/>
      <c r="J44" s="748"/>
      <c r="K44" s="748"/>
      <c r="L44" s="859"/>
    </row>
    <row r="45" spans="1:12">
      <c r="A45" s="854" t="s">
        <v>494</v>
      </c>
      <c r="D45" s="862">
        <f ca="1">'Devel. Bud'!D51</f>
        <v>245000</v>
      </c>
      <c r="E45" s="862">
        <f ca="1">D45-I45</f>
        <v>194309.28502016328</v>
      </c>
      <c r="F45" s="748"/>
      <c r="G45" s="748"/>
      <c r="H45" s="748"/>
      <c r="I45" s="748">
        <f ca="1">D93-SUM(I11:I44,I46:I79)</f>
        <v>50690.714979836717</v>
      </c>
      <c r="J45" s="748"/>
      <c r="K45" s="748"/>
      <c r="L45" s="859">
        <f t="shared" ref="L45:L51" ca="1" si="5">D45-SUM(E45:K45)</f>
        <v>0</v>
      </c>
    </row>
    <row r="46" spans="1:12">
      <c r="A46" s="854" t="s">
        <v>614</v>
      </c>
      <c r="D46" s="862">
        <f>'Devel. Bud'!D52</f>
        <v>109062.5</v>
      </c>
      <c r="E46" s="862">
        <f t="shared" ref="E46:E48" si="6">D46</f>
        <v>109062.5</v>
      </c>
      <c r="F46" s="748"/>
      <c r="G46" s="748"/>
      <c r="H46" s="748"/>
      <c r="I46" s="748"/>
      <c r="J46" s="748"/>
      <c r="K46" s="748"/>
      <c r="L46" s="859">
        <f t="shared" si="5"/>
        <v>0</v>
      </c>
    </row>
    <row r="47" spans="1:12">
      <c r="A47" s="854" t="s">
        <v>496</v>
      </c>
      <c r="D47" s="862">
        <f>'Devel. Bud'!D53</f>
        <v>8400</v>
      </c>
      <c r="E47" s="862">
        <f t="shared" si="6"/>
        <v>8400</v>
      </c>
      <c r="F47" s="748"/>
      <c r="G47" s="748"/>
      <c r="H47" s="748"/>
      <c r="I47" s="748"/>
      <c r="J47" s="748"/>
      <c r="K47" s="748"/>
      <c r="L47" s="859">
        <f t="shared" si="5"/>
        <v>0</v>
      </c>
    </row>
    <row r="48" spans="1:12">
      <c r="A48" s="854" t="s">
        <v>194</v>
      </c>
      <c r="D48" s="862">
        <f>'Devel. Bud'!D54</f>
        <v>50000</v>
      </c>
      <c r="E48" s="862">
        <f t="shared" si="6"/>
        <v>50000</v>
      </c>
      <c r="F48" s="748"/>
      <c r="G48" s="748"/>
      <c r="H48" s="748"/>
      <c r="I48" s="748"/>
      <c r="J48" s="748"/>
      <c r="K48" s="748"/>
      <c r="L48" s="859">
        <f t="shared" si="5"/>
        <v>0</v>
      </c>
    </row>
    <row r="49" spans="1:12">
      <c r="A49" s="854" t="s">
        <v>398</v>
      </c>
      <c r="D49" s="862">
        <f ca="1">'Devel. Bud'!D55</f>
        <v>42808</v>
      </c>
      <c r="E49" s="862"/>
      <c r="F49" s="748"/>
      <c r="G49" s="748"/>
      <c r="H49" s="748"/>
      <c r="I49" s="748">
        <f t="shared" ref="I49:I51" ca="1" si="7">D49</f>
        <v>42808</v>
      </c>
      <c r="J49" s="748"/>
      <c r="K49" s="748"/>
      <c r="L49" s="859">
        <f t="shared" ca="1" si="5"/>
        <v>0</v>
      </c>
    </row>
    <row r="50" spans="1:12">
      <c r="A50" s="854" t="s">
        <v>497</v>
      </c>
      <c r="D50" s="862">
        <f ca="1">'Devel. Bud'!D56</f>
        <v>245000</v>
      </c>
      <c r="E50" s="862"/>
      <c r="F50" s="748"/>
      <c r="G50" s="748"/>
      <c r="H50" s="748"/>
      <c r="I50" s="748">
        <f t="shared" ca="1" si="7"/>
        <v>245000</v>
      </c>
      <c r="J50" s="748"/>
      <c r="K50" s="748"/>
      <c r="L50" s="859">
        <f t="shared" ca="1" si="5"/>
        <v>0</v>
      </c>
    </row>
    <row r="51" spans="1:12">
      <c r="A51" s="854" t="s">
        <v>498</v>
      </c>
      <c r="D51" s="862">
        <f ca="1">'Devel. Bud'!D57</f>
        <v>294000</v>
      </c>
      <c r="E51" s="862"/>
      <c r="F51" s="748"/>
      <c r="G51" s="748"/>
      <c r="H51" s="748"/>
      <c r="I51" s="748">
        <f t="shared" ca="1" si="7"/>
        <v>294000</v>
      </c>
      <c r="J51" s="748"/>
      <c r="K51" s="748"/>
      <c r="L51" s="859">
        <f t="shared" ca="1" si="5"/>
        <v>0</v>
      </c>
    </row>
    <row r="52" spans="1:12">
      <c r="A52" s="864" t="s">
        <v>66</v>
      </c>
      <c r="D52" s="863">
        <f ca="1">SUM(D45:D51)</f>
        <v>994270.5</v>
      </c>
      <c r="E52" s="863"/>
      <c r="F52" s="748"/>
      <c r="G52" s="748"/>
      <c r="H52" s="748"/>
      <c r="I52" s="748"/>
      <c r="J52" s="748"/>
      <c r="K52" s="748"/>
      <c r="L52" s="859"/>
    </row>
    <row r="53" spans="1:12">
      <c r="A53" s="854"/>
      <c r="D53" s="862"/>
      <c r="E53" s="862"/>
      <c r="F53" s="748"/>
      <c r="G53" s="748"/>
      <c r="H53" s="748"/>
      <c r="I53" s="748"/>
      <c r="J53" s="748"/>
      <c r="K53" s="748"/>
      <c r="L53" s="859"/>
    </row>
    <row r="54" spans="1:12">
      <c r="A54" s="856" t="s">
        <v>80</v>
      </c>
      <c r="B54" s="861"/>
      <c r="C54" s="861"/>
      <c r="D54" s="860"/>
      <c r="E54" s="860"/>
      <c r="F54" s="748"/>
      <c r="G54" s="748"/>
      <c r="H54" s="748"/>
      <c r="I54" s="748"/>
      <c r="J54" s="748"/>
      <c r="K54" s="748"/>
      <c r="L54" s="859"/>
    </row>
    <row r="55" spans="1:12">
      <c r="A55" s="854" t="s">
        <v>232</v>
      </c>
      <c r="D55" s="862">
        <f ca="1">'Devel. Bud'!D64</f>
        <v>1666000</v>
      </c>
      <c r="E55" s="862"/>
      <c r="F55" s="748"/>
      <c r="G55" s="748"/>
      <c r="H55" s="748"/>
      <c r="I55" s="748">
        <f ca="1">D55</f>
        <v>1666000</v>
      </c>
      <c r="J55" s="748"/>
      <c r="K55" s="748"/>
      <c r="L55" s="859">
        <f t="shared" ref="L55:L68" ca="1" si="8">D55-SUM(E55:K55)</f>
        <v>0</v>
      </c>
    </row>
    <row r="56" spans="1:12">
      <c r="A56" s="854" t="s">
        <v>349</v>
      </c>
      <c r="D56" s="862">
        <f>'Devel. Bud'!D65</f>
        <v>165000</v>
      </c>
      <c r="E56" s="862"/>
      <c r="F56" s="748"/>
      <c r="G56" s="748"/>
      <c r="H56" s="748"/>
      <c r="I56" s="748"/>
      <c r="J56" s="748">
        <f>D56</f>
        <v>165000</v>
      </c>
      <c r="K56" s="748"/>
      <c r="L56" s="859">
        <f t="shared" si="8"/>
        <v>0</v>
      </c>
    </row>
    <row r="57" spans="1:12">
      <c r="A57" s="854" t="s">
        <v>154</v>
      </c>
      <c r="D57" s="862">
        <f>'Devel. Bud'!D66</f>
        <v>675000</v>
      </c>
      <c r="E57" s="862"/>
      <c r="F57" s="748"/>
      <c r="G57" s="748"/>
      <c r="H57" s="748"/>
      <c r="I57" s="748">
        <f>D57</f>
        <v>675000</v>
      </c>
      <c r="J57" s="748"/>
      <c r="K57" s="748"/>
      <c r="L57" s="859">
        <f t="shared" si="8"/>
        <v>0</v>
      </c>
    </row>
    <row r="58" spans="1:12">
      <c r="A58" s="854" t="s">
        <v>488</v>
      </c>
      <c r="D58" s="862">
        <f>'Devel. Bud'!D67</f>
        <v>450000</v>
      </c>
      <c r="E58" s="862"/>
      <c r="F58" s="748"/>
      <c r="G58" s="748"/>
      <c r="H58" s="748"/>
      <c r="I58" s="748">
        <f t="shared" ref="I58:I59" si="9">D58</f>
        <v>450000</v>
      </c>
      <c r="J58" s="748"/>
      <c r="K58" s="748"/>
      <c r="L58" s="859">
        <f t="shared" si="8"/>
        <v>0</v>
      </c>
    </row>
    <row r="59" spans="1:12">
      <c r="A59" s="854" t="s">
        <v>489</v>
      </c>
      <c r="D59" s="862">
        <f>'Devel. Bud'!D68</f>
        <v>850000</v>
      </c>
      <c r="E59" s="862"/>
      <c r="F59" s="748"/>
      <c r="G59" s="748"/>
      <c r="H59" s="748"/>
      <c r="I59" s="748">
        <f t="shared" si="9"/>
        <v>850000</v>
      </c>
      <c r="J59" s="748"/>
      <c r="K59" s="748"/>
      <c r="L59" s="859">
        <f t="shared" si="8"/>
        <v>0</v>
      </c>
    </row>
    <row r="60" spans="1:12">
      <c r="A60" s="854" t="s">
        <v>136</v>
      </c>
      <c r="D60" s="862">
        <f>'Devel. Bud'!D69</f>
        <v>100000</v>
      </c>
      <c r="E60" s="862"/>
      <c r="F60" s="748"/>
      <c r="G60" s="748"/>
      <c r="H60" s="748"/>
      <c r="I60" s="748">
        <f t="shared" ref="I60:I65" si="10">D60</f>
        <v>100000</v>
      </c>
      <c r="J60" s="748"/>
      <c r="K60" s="748"/>
      <c r="L60" s="859">
        <f t="shared" si="8"/>
        <v>0</v>
      </c>
    </row>
    <row r="61" spans="1:12">
      <c r="A61" s="854" t="s">
        <v>122</v>
      </c>
      <c r="D61" s="862">
        <f>'Devel. Bud'!D70</f>
        <v>68000</v>
      </c>
      <c r="E61" s="862"/>
      <c r="F61" s="748"/>
      <c r="G61" s="748"/>
      <c r="H61" s="748"/>
      <c r="I61" s="748">
        <f t="shared" si="10"/>
        <v>68000</v>
      </c>
      <c r="J61" s="748"/>
      <c r="K61" s="748"/>
      <c r="L61" s="859">
        <f t="shared" si="8"/>
        <v>0</v>
      </c>
    </row>
    <row r="62" spans="1:12">
      <c r="A62" s="854" t="s">
        <v>333</v>
      </c>
      <c r="D62" s="862">
        <f>'Devel. Bud'!D71</f>
        <v>25000</v>
      </c>
      <c r="E62" s="862"/>
      <c r="F62" s="748"/>
      <c r="G62" s="748"/>
      <c r="H62" s="748"/>
      <c r="I62" s="748">
        <f t="shared" si="10"/>
        <v>25000</v>
      </c>
      <c r="J62" s="748"/>
      <c r="K62" s="748"/>
      <c r="L62" s="859">
        <f t="shared" si="8"/>
        <v>0</v>
      </c>
    </row>
    <row r="63" spans="1:12">
      <c r="A63" s="854" t="s">
        <v>402</v>
      </c>
      <c r="D63" s="862">
        <f>'Devel. Bud'!D72</f>
        <v>50000</v>
      </c>
      <c r="E63" s="862"/>
      <c r="F63" s="748"/>
      <c r="G63" s="748"/>
      <c r="H63" s="748"/>
      <c r="I63" s="748">
        <f t="shared" si="10"/>
        <v>50000</v>
      </c>
      <c r="J63" s="748"/>
      <c r="K63" s="748"/>
      <c r="L63" s="859">
        <f t="shared" si="8"/>
        <v>0</v>
      </c>
    </row>
    <row r="64" spans="1:12">
      <c r="A64" s="854" t="s">
        <v>403</v>
      </c>
      <c r="D64" s="862">
        <f>'Devel. Bud'!D73</f>
        <v>0</v>
      </c>
      <c r="E64" s="862"/>
      <c r="F64" s="748"/>
      <c r="G64" s="748"/>
      <c r="H64" s="748"/>
      <c r="I64" s="748">
        <f t="shared" si="10"/>
        <v>0</v>
      </c>
      <c r="J64" s="748"/>
      <c r="K64" s="748"/>
      <c r="L64" s="859">
        <f t="shared" si="8"/>
        <v>0</v>
      </c>
    </row>
    <row r="65" spans="1:12">
      <c r="A65" s="854" t="s">
        <v>211</v>
      </c>
      <c r="D65" s="862">
        <f>'Devel. Bud'!D74</f>
        <v>200000</v>
      </c>
      <c r="E65" s="862"/>
      <c r="F65" s="748"/>
      <c r="G65" s="748"/>
      <c r="H65" s="748"/>
      <c r="I65" s="748">
        <f t="shared" si="10"/>
        <v>200000</v>
      </c>
      <c r="J65" s="748"/>
      <c r="K65" s="748"/>
      <c r="L65" s="859">
        <f t="shared" si="8"/>
        <v>0</v>
      </c>
    </row>
    <row r="66" spans="1:12">
      <c r="A66" s="854" t="s">
        <v>337</v>
      </c>
      <c r="D66" s="862">
        <f>'Devel. Bud'!D75</f>
        <v>15000</v>
      </c>
      <c r="E66" s="862"/>
      <c r="F66" s="748"/>
      <c r="G66" s="748"/>
      <c r="H66" s="748"/>
      <c r="I66" s="748">
        <f t="shared" ref="I66:I67" si="11">D66</f>
        <v>15000</v>
      </c>
      <c r="J66" s="748"/>
      <c r="K66" s="748"/>
      <c r="L66" s="859">
        <f t="shared" si="8"/>
        <v>0</v>
      </c>
    </row>
    <row r="67" spans="1:12">
      <c r="A67" s="854" t="s">
        <v>338</v>
      </c>
      <c r="D67" s="862">
        <f>'Devel. Bud'!D76</f>
        <v>136000</v>
      </c>
      <c r="E67" s="862"/>
      <c r="F67" s="748"/>
      <c r="G67" s="748"/>
      <c r="H67" s="748"/>
      <c r="I67" s="748">
        <f t="shared" si="11"/>
        <v>136000</v>
      </c>
      <c r="J67" s="748"/>
      <c r="K67" s="748"/>
      <c r="L67" s="859">
        <f t="shared" si="8"/>
        <v>0</v>
      </c>
    </row>
    <row r="68" spans="1:12">
      <c r="A68" s="854" t="s">
        <v>178</v>
      </c>
      <c r="D68" s="862">
        <f>'Devel. Bud'!D77</f>
        <v>24765.062073580004</v>
      </c>
      <c r="E68" s="862"/>
      <c r="F68" s="748"/>
      <c r="G68" s="748"/>
      <c r="H68" s="748"/>
      <c r="I68" s="748">
        <f>D68</f>
        <v>24765.062073580004</v>
      </c>
      <c r="J68" s="748"/>
      <c r="K68" s="748"/>
      <c r="L68" s="859">
        <f t="shared" si="8"/>
        <v>0</v>
      </c>
    </row>
    <row r="69" spans="1:12">
      <c r="A69" s="864" t="s">
        <v>66</v>
      </c>
      <c r="D69" s="863">
        <f ca="1">SUM(D55:D68)</f>
        <v>4424765.06207358</v>
      </c>
      <c r="E69" s="863"/>
      <c r="F69" s="748"/>
      <c r="G69" s="748"/>
      <c r="H69" s="748"/>
      <c r="I69" s="748"/>
      <c r="J69" s="748"/>
      <c r="K69" s="748"/>
      <c r="L69" s="859"/>
    </row>
    <row r="70" spans="1:12">
      <c r="A70" s="854"/>
      <c r="D70" s="862"/>
      <c r="E70" s="862"/>
      <c r="F70" s="748"/>
      <c r="G70" s="748"/>
      <c r="H70" s="748"/>
      <c r="I70" s="748"/>
      <c r="J70" s="748"/>
      <c r="K70" s="748"/>
      <c r="L70" s="859"/>
    </row>
    <row r="71" spans="1:12">
      <c r="A71" s="856" t="s">
        <v>73</v>
      </c>
      <c r="B71" s="861"/>
      <c r="C71" s="861"/>
      <c r="D71" s="860"/>
      <c r="E71" s="860"/>
      <c r="F71" s="748"/>
      <c r="G71" s="748"/>
      <c r="H71" s="748"/>
      <c r="I71" s="748"/>
      <c r="J71" s="748"/>
      <c r="K71" s="748"/>
      <c r="L71" s="859"/>
    </row>
    <row r="72" spans="1:12">
      <c r="A72" s="854" t="s">
        <v>122</v>
      </c>
      <c r="D72" s="862">
        <f>'Devel. Bud'!D81</f>
        <v>136000</v>
      </c>
      <c r="E72" s="862">
        <f>D72</f>
        <v>136000</v>
      </c>
      <c r="F72" s="748"/>
      <c r="G72" s="748"/>
      <c r="H72" s="748"/>
      <c r="I72" s="748"/>
      <c r="J72" s="748"/>
      <c r="K72" s="748"/>
      <c r="L72" s="859">
        <f t="shared" ref="L72:L76" si="12">D72-SUM(E72:K72)</f>
        <v>0</v>
      </c>
    </row>
    <row r="73" spans="1:12">
      <c r="A73" s="854" t="s">
        <v>56</v>
      </c>
      <c r="D73" s="862">
        <f>'Devel. Bud'!D82</f>
        <v>136000</v>
      </c>
      <c r="E73" s="862">
        <f>D73</f>
        <v>136000</v>
      </c>
      <c r="F73" s="748"/>
      <c r="G73" s="748"/>
      <c r="H73" s="748"/>
      <c r="I73" s="748"/>
      <c r="J73" s="748"/>
      <c r="K73" s="748"/>
      <c r="L73" s="859">
        <f t="shared" si="12"/>
        <v>0</v>
      </c>
    </row>
    <row r="74" spans="1:12">
      <c r="A74" s="854" t="s">
        <v>202</v>
      </c>
      <c r="D74" s="862">
        <f>'Devel. Bud'!D83</f>
        <v>999223</v>
      </c>
      <c r="E74" s="862">
        <f>D74</f>
        <v>999223</v>
      </c>
      <c r="F74" s="748"/>
      <c r="G74" s="748"/>
      <c r="H74" s="748"/>
      <c r="I74" s="748"/>
      <c r="J74" s="748"/>
      <c r="K74" s="748"/>
      <c r="L74" s="859">
        <f t="shared" si="12"/>
        <v>0</v>
      </c>
    </row>
    <row r="75" spans="1:12">
      <c r="A75" s="854" t="s">
        <v>351</v>
      </c>
      <c r="D75" s="862">
        <f>'Devel. Bud'!D84</f>
        <v>774005</v>
      </c>
      <c r="E75" s="862">
        <f>D75</f>
        <v>774005</v>
      </c>
      <c r="F75" s="748"/>
      <c r="G75" s="748"/>
      <c r="H75" s="748"/>
      <c r="I75" s="748"/>
      <c r="J75" s="748"/>
      <c r="K75" s="748"/>
      <c r="L75" s="859">
        <f t="shared" si="12"/>
        <v>0</v>
      </c>
    </row>
    <row r="76" spans="1:12">
      <c r="A76" s="854" t="s">
        <v>102</v>
      </c>
      <c r="D76" s="862">
        <f ca="1">'Devel. Bud'!D85</f>
        <v>584252</v>
      </c>
      <c r="E76" s="862"/>
      <c r="F76" s="748"/>
      <c r="G76" s="748"/>
      <c r="H76" s="748"/>
      <c r="I76" s="748">
        <f ca="1">D76</f>
        <v>584252</v>
      </c>
      <c r="J76" s="748"/>
      <c r="K76" s="748"/>
      <c r="L76" s="859">
        <f t="shared" ca="1" si="12"/>
        <v>0</v>
      </c>
    </row>
    <row r="77" spans="1:12">
      <c r="A77" s="864" t="s">
        <v>66</v>
      </c>
      <c r="D77" s="863">
        <f ca="1">SUM(D72:D76)</f>
        <v>2629480</v>
      </c>
      <c r="E77" s="863"/>
      <c r="F77" s="748"/>
      <c r="G77" s="748"/>
      <c r="H77" s="748"/>
      <c r="I77" s="748"/>
      <c r="J77" s="748"/>
      <c r="K77" s="748"/>
      <c r="L77" s="859"/>
    </row>
    <row r="78" spans="1:12">
      <c r="A78" s="854"/>
      <c r="D78" s="862"/>
      <c r="E78" s="862"/>
      <c r="F78" s="748"/>
      <c r="G78" s="748"/>
      <c r="H78" s="748"/>
      <c r="I78" s="748"/>
      <c r="J78" s="748"/>
      <c r="K78" s="748"/>
      <c r="L78" s="859"/>
    </row>
    <row r="79" spans="1:12">
      <c r="A79" s="856" t="s">
        <v>256</v>
      </c>
      <c r="B79" s="861"/>
      <c r="C79" s="861"/>
      <c r="D79" s="860">
        <f>'Devel. Bud'!D90</f>
        <v>5000000</v>
      </c>
      <c r="E79" s="748"/>
      <c r="F79" s="748"/>
      <c r="G79" s="748"/>
      <c r="H79" s="748"/>
      <c r="I79" s="748">
        <f ca="1">D79-K79</f>
        <v>3854009.2229465824</v>
      </c>
      <c r="J79" s="748"/>
      <c r="K79" s="748">
        <f ca="1">'Sources and Use'!C32</f>
        <v>1145990.7770534179</v>
      </c>
      <c r="L79" s="859">
        <f ca="1">D79-SUM(E79:K79)</f>
        <v>0</v>
      </c>
    </row>
    <row r="80" spans="1:12">
      <c r="F80" s="748"/>
      <c r="G80" s="748"/>
      <c r="H80" s="748"/>
      <c r="I80" s="748"/>
      <c r="J80" s="748"/>
      <c r="K80" s="748"/>
      <c r="L80" s="859"/>
    </row>
    <row r="81" spans="1:12" ht="15">
      <c r="A81" s="858" t="s">
        <v>456</v>
      </c>
      <c r="D81" s="857">
        <f ca="1">SUM(D7,D13,D32,D42,D52,D69,D77,D79)</f>
        <v>41294173.562073581</v>
      </c>
      <c r="E81" s="748">
        <f t="shared" ref="E81:K81" ca="1" si="13">SUM(E7:E80)</f>
        <v>4724999.7850201633</v>
      </c>
      <c r="F81" s="748">
        <f t="shared" si="13"/>
        <v>2500000</v>
      </c>
      <c r="G81" s="748">
        <f t="shared" si="13"/>
        <v>11000000</v>
      </c>
      <c r="H81" s="748">
        <f t="shared" si="13"/>
        <v>8050000</v>
      </c>
      <c r="I81" s="748">
        <f t="shared" ca="1" si="13"/>
        <v>13708183</v>
      </c>
      <c r="J81" s="748">
        <f t="shared" si="13"/>
        <v>165000</v>
      </c>
      <c r="K81" s="748">
        <f t="shared" ca="1" si="13"/>
        <v>1145990.7770534179</v>
      </c>
      <c r="L81" s="859">
        <f t="shared" ref="L81" ca="1" si="14">D81-SUM(E81:K81)</f>
        <v>0</v>
      </c>
    </row>
    <row r="82" spans="1:12" ht="15">
      <c r="A82" s="858"/>
      <c r="D82" s="857"/>
      <c r="E82" s="857"/>
      <c r="L82" s="859"/>
    </row>
    <row r="83" spans="1:12" ht="15">
      <c r="A83" s="858"/>
      <c r="D83" s="857"/>
      <c r="E83" s="850">
        <f ca="1">E81-D87</f>
        <v>-0.21497983671724796</v>
      </c>
      <c r="F83" s="850">
        <f>F81-D88</f>
        <v>0</v>
      </c>
      <c r="G83" s="850">
        <f>G81-D89</f>
        <v>0</v>
      </c>
      <c r="H83" s="850">
        <f>H81-D91</f>
        <v>0</v>
      </c>
      <c r="I83" s="850">
        <f ca="1">I81-D93</f>
        <v>0</v>
      </c>
      <c r="J83" s="850">
        <f>J81-D95</f>
        <v>0</v>
      </c>
      <c r="K83" s="850">
        <f ca="1">K81-D96</f>
        <v>0</v>
      </c>
    </row>
    <row r="84" spans="1:12" ht="15">
      <c r="A84" s="858"/>
      <c r="D84" s="857"/>
      <c r="E84" s="857"/>
    </row>
    <row r="86" spans="1:12">
      <c r="A86" s="856" t="s">
        <v>100</v>
      </c>
    </row>
    <row r="87" spans="1:12">
      <c r="A87" s="854" t="s">
        <v>500</v>
      </c>
      <c r="D87" s="850">
        <f>'Sources and Use'!C23</f>
        <v>4725000</v>
      </c>
      <c r="E87" s="850"/>
    </row>
    <row r="88" spans="1:12">
      <c r="A88" s="854" t="s">
        <v>189</v>
      </c>
      <c r="D88" s="850">
        <f>'Sources and Use'!C24</f>
        <v>2500000</v>
      </c>
      <c r="E88" s="850"/>
    </row>
    <row r="89" spans="1:12">
      <c r="A89" s="854" t="s">
        <v>480</v>
      </c>
      <c r="D89" s="850">
        <f>'Sources and Use'!C25</f>
        <v>11000000</v>
      </c>
      <c r="E89" s="850"/>
    </row>
    <row r="90" spans="1:12" hidden="1">
      <c r="A90" s="854" t="s">
        <v>481</v>
      </c>
      <c r="D90" s="850">
        <f>'Sources and Use'!C26</f>
        <v>0</v>
      </c>
      <c r="E90" s="850"/>
    </row>
    <row r="91" spans="1:12">
      <c r="A91" s="854" t="s">
        <v>482</v>
      </c>
      <c r="D91" s="850">
        <f>'Sources and Use'!C27</f>
        <v>8050000</v>
      </c>
      <c r="E91" s="850"/>
    </row>
    <row r="92" spans="1:12" hidden="1">
      <c r="A92" s="854"/>
      <c r="D92" s="850">
        <f>'Sources and Use'!C28</f>
        <v>0</v>
      </c>
      <c r="E92" s="850"/>
    </row>
    <row r="93" spans="1:12">
      <c r="A93" s="854" t="s">
        <v>281</v>
      </c>
      <c r="D93" s="850">
        <f ca="1">'Sources and Use'!C29</f>
        <v>13708183</v>
      </c>
      <c r="E93" s="850"/>
    </row>
    <row r="94" spans="1:12" hidden="1">
      <c r="A94" s="854" t="s">
        <v>113</v>
      </c>
      <c r="D94" s="850">
        <f>'Sources and Use'!C30</f>
        <v>0</v>
      </c>
      <c r="E94" s="850"/>
    </row>
    <row r="95" spans="1:12">
      <c r="A95" s="854" t="s">
        <v>348</v>
      </c>
      <c r="D95" s="850">
        <f>'Sources and Use'!C31</f>
        <v>165000</v>
      </c>
      <c r="E95" s="850"/>
    </row>
    <row r="96" spans="1:12">
      <c r="A96" s="854" t="s">
        <v>280</v>
      </c>
      <c r="D96" s="850">
        <f ca="1">'Sources and Use'!C32</f>
        <v>1145990.7770534179</v>
      </c>
      <c r="E96" s="850"/>
    </row>
    <row r="97" spans="1:5">
      <c r="A97" s="881" t="s">
        <v>107</v>
      </c>
      <c r="B97" s="853"/>
      <c r="D97" s="852">
        <f ca="1">'Sources and Use'!C33</f>
        <v>41294173.777053416</v>
      </c>
      <c r="E97" s="852"/>
    </row>
    <row r="98" spans="1:5">
      <c r="A98" s="851"/>
      <c r="D98" s="850"/>
      <c r="E98" s="850"/>
    </row>
    <row r="101" spans="1:5">
      <c r="A101" s="742" t="s">
        <v>82</v>
      </c>
      <c r="B101" s="743"/>
      <c r="D101" s="744">
        <f>'Sources and Use'!C37</f>
        <v>2500000</v>
      </c>
      <c r="E101" s="744"/>
    </row>
    <row r="102" spans="1:5">
      <c r="A102" s="742" t="s">
        <v>46</v>
      </c>
      <c r="B102" s="743"/>
      <c r="D102" s="744">
        <f>'Sources and Use'!C38</f>
        <v>22742658</v>
      </c>
      <c r="E102" s="744"/>
    </row>
    <row r="103" spans="1:5">
      <c r="A103" s="742" t="s">
        <v>44</v>
      </c>
      <c r="B103" s="743"/>
      <c r="D103" s="744">
        <f ca="1">'Sources and Use'!C39</f>
        <v>2403000</v>
      </c>
      <c r="E103" s="744"/>
    </row>
    <row r="104" spans="1:5">
      <c r="A104" s="742" t="s">
        <v>45</v>
      </c>
      <c r="B104" s="743"/>
      <c r="D104" s="744">
        <f ca="1">'Sources and Use'!C40</f>
        <v>1594270.5</v>
      </c>
      <c r="E104" s="744"/>
    </row>
    <row r="105" spans="1:5">
      <c r="A105" s="742" t="s">
        <v>80</v>
      </c>
      <c r="B105" s="743"/>
      <c r="D105" s="744">
        <f ca="1">'Sources and Use'!C41</f>
        <v>4424765.06207358</v>
      </c>
      <c r="E105" s="744"/>
    </row>
    <row r="106" spans="1:5">
      <c r="A106" s="742" t="s">
        <v>73</v>
      </c>
      <c r="B106" s="743"/>
      <c r="D106" s="744">
        <f ca="1">'Sources and Use'!C42</f>
        <v>2629480</v>
      </c>
      <c r="E106" s="744"/>
    </row>
    <row r="107" spans="1:5">
      <c r="A107" s="742" t="s">
        <v>256</v>
      </c>
      <c r="B107" s="743"/>
      <c r="C107" s="743"/>
      <c r="D107" s="849">
        <f>'Sources and Use'!C43</f>
        <v>5000000</v>
      </c>
      <c r="E107" s="1113"/>
    </row>
    <row r="108" spans="1:5">
      <c r="A108" s="848" t="s">
        <v>39</v>
      </c>
      <c r="B108" s="848"/>
      <c r="C108" s="848"/>
      <c r="D108" s="746">
        <f ca="1">SUM(D101:D107)</f>
        <v>41294173.562073581</v>
      </c>
      <c r="E108" s="1114"/>
    </row>
  </sheetData>
  <mergeCells count="2">
    <mergeCell ref="D5:D6"/>
    <mergeCell ref="E5:K5"/>
  </mergeCells>
  <pageMargins left="0.7" right="0.7" top="0.75" bottom="0.75" header="0.3" footer="0.3"/>
  <pageSetup paperSize="3" scale="7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10B73-E0E7-4BC4-A542-40FA94F910B9}">
  <sheetPr>
    <pageSetUpPr fitToPage="1"/>
  </sheetPr>
  <dimension ref="A1:AP198"/>
  <sheetViews>
    <sheetView zoomScale="96" zoomScaleNormal="96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G108" sqref="G108"/>
    </sheetView>
  </sheetViews>
  <sheetFormatPr defaultColWidth="6.77734375" defaultRowHeight="11.65" outlineLevelRow="1"/>
  <cols>
    <col min="1" max="1" width="28.83203125" style="938" customWidth="1"/>
    <col min="2" max="2" width="9.21875" style="938" bestFit="1" customWidth="1"/>
    <col min="3" max="3" width="4.6640625" style="938" customWidth="1"/>
    <col min="4" max="4" width="13.6640625" style="938" customWidth="1"/>
    <col min="5" max="5" width="6.44140625" style="938" customWidth="1"/>
    <col min="6" max="6" width="9.77734375" style="938" bestFit="1" customWidth="1"/>
    <col min="7" max="7" width="10.27734375" style="938" bestFit="1" customWidth="1"/>
    <col min="8" max="8" width="8.38671875" style="938" bestFit="1" customWidth="1"/>
    <col min="9" max="9" width="9.5546875" style="938" bestFit="1" customWidth="1"/>
    <col min="10" max="10" width="10" style="938" bestFit="1" customWidth="1"/>
    <col min="11" max="24" width="8.6640625" style="938" customWidth="1"/>
    <col min="25" max="25" width="9.609375" style="938" bestFit="1" customWidth="1"/>
    <col min="26" max="36" width="8.6640625" style="938" customWidth="1"/>
    <col min="37" max="37" width="12.77734375" style="938" bestFit="1" customWidth="1"/>
    <col min="38" max="16384" width="6.77734375" style="938"/>
  </cols>
  <sheetData>
    <row r="1" spans="1:42">
      <c r="A1" s="937" t="s">
        <v>587</v>
      </c>
      <c r="C1" s="939"/>
      <c r="D1" s="940"/>
      <c r="E1" s="941"/>
    </row>
    <row r="2" spans="1:42">
      <c r="A2" s="937" t="s">
        <v>412</v>
      </c>
    </row>
    <row r="3" spans="1:42" ht="12" thickBot="1">
      <c r="AD3" s="939" t="s">
        <v>413</v>
      </c>
      <c r="AE3" s="1138" t="s">
        <v>414</v>
      </c>
      <c r="AF3" s="1138"/>
      <c r="AG3" s="1138"/>
      <c r="AH3" s="1138"/>
      <c r="AI3" s="1138"/>
      <c r="AJ3" s="938" t="s">
        <v>205</v>
      </c>
    </row>
    <row r="4" spans="1:42" ht="23.65" thickBot="1">
      <c r="A4" s="938" t="s">
        <v>415</v>
      </c>
      <c r="B4" s="942">
        <f>F5</f>
        <v>44439</v>
      </c>
      <c r="D4" s="937"/>
      <c r="E4" s="937"/>
      <c r="F4" s="943" t="s">
        <v>357</v>
      </c>
      <c r="G4" s="944" t="s">
        <v>416</v>
      </c>
      <c r="H4" s="1076" t="s">
        <v>417</v>
      </c>
      <c r="I4" s="945" t="s">
        <v>418</v>
      </c>
      <c r="J4" s="945" t="s">
        <v>419</v>
      </c>
      <c r="K4" s="945" t="s">
        <v>420</v>
      </c>
      <c r="L4" s="945" t="s">
        <v>421</v>
      </c>
      <c r="M4" s="945" t="s">
        <v>422</v>
      </c>
      <c r="N4" s="945" t="s">
        <v>423</v>
      </c>
      <c r="O4" s="945" t="s">
        <v>424</v>
      </c>
      <c r="P4" s="945" t="s">
        <v>425</v>
      </c>
      <c r="Q4" s="945" t="s">
        <v>426</v>
      </c>
      <c r="R4" s="945" t="s">
        <v>427</v>
      </c>
      <c r="S4" s="945" t="s">
        <v>428</v>
      </c>
      <c r="T4" s="945" t="s">
        <v>429</v>
      </c>
      <c r="U4" s="945" t="s">
        <v>430</v>
      </c>
      <c r="V4" s="945" t="s">
        <v>431</v>
      </c>
      <c r="W4" s="945" t="s">
        <v>432</v>
      </c>
      <c r="X4" s="945" t="s">
        <v>433</v>
      </c>
      <c r="Y4" s="945" t="s">
        <v>434</v>
      </c>
      <c r="Z4" s="945" t="s">
        <v>435</v>
      </c>
      <c r="AA4" s="945" t="s">
        <v>436</v>
      </c>
      <c r="AB4" s="945" t="s">
        <v>437</v>
      </c>
      <c r="AC4" s="1077" t="s">
        <v>438</v>
      </c>
      <c r="AD4" s="946" t="s">
        <v>439</v>
      </c>
      <c r="AE4" s="944" t="s">
        <v>440</v>
      </c>
      <c r="AF4" s="945" t="s">
        <v>441</v>
      </c>
      <c r="AG4" s="945" t="s">
        <v>442</v>
      </c>
      <c r="AH4" s="945" t="s">
        <v>443</v>
      </c>
      <c r="AI4" s="945" t="s">
        <v>444</v>
      </c>
      <c r="AJ4" s="946" t="s">
        <v>445</v>
      </c>
      <c r="AK4" s="937"/>
      <c r="AL4" s="937"/>
      <c r="AM4" s="937"/>
      <c r="AN4" s="937"/>
      <c r="AO4" s="937"/>
      <c r="AP4" s="937"/>
    </row>
    <row r="5" spans="1:42">
      <c r="A5" s="938" t="s">
        <v>446</v>
      </c>
      <c r="B5" s="942">
        <f>G5</f>
        <v>44440</v>
      </c>
      <c r="F5" s="1053">
        <v>44439</v>
      </c>
      <c r="G5" s="947">
        <f>WORKDAY(F5,1)</f>
        <v>44440</v>
      </c>
      <c r="H5" s="948">
        <f t="shared" ref="H5:AI5" si="0">EDATE(G5,1)</f>
        <v>44470</v>
      </c>
      <c r="I5" s="948">
        <f t="shared" si="0"/>
        <v>44501</v>
      </c>
      <c r="J5" s="948">
        <f t="shared" si="0"/>
        <v>44531</v>
      </c>
      <c r="K5" s="948">
        <f t="shared" si="0"/>
        <v>44562</v>
      </c>
      <c r="L5" s="949">
        <f t="shared" si="0"/>
        <v>44593</v>
      </c>
      <c r="M5" s="948">
        <f t="shared" si="0"/>
        <v>44621</v>
      </c>
      <c r="N5" s="948">
        <f t="shared" si="0"/>
        <v>44652</v>
      </c>
      <c r="O5" s="948">
        <f t="shared" si="0"/>
        <v>44682</v>
      </c>
      <c r="P5" s="949">
        <f t="shared" si="0"/>
        <v>44713</v>
      </c>
      <c r="Q5" s="949">
        <f t="shared" si="0"/>
        <v>44743</v>
      </c>
      <c r="R5" s="948">
        <f t="shared" si="0"/>
        <v>44774</v>
      </c>
      <c r="S5" s="950">
        <f t="shared" si="0"/>
        <v>44805</v>
      </c>
      <c r="T5" s="948">
        <f t="shared" si="0"/>
        <v>44835</v>
      </c>
      <c r="U5" s="949">
        <f t="shared" si="0"/>
        <v>44866</v>
      </c>
      <c r="V5" s="948">
        <f t="shared" si="0"/>
        <v>44896</v>
      </c>
      <c r="W5" s="949">
        <f t="shared" si="0"/>
        <v>44927</v>
      </c>
      <c r="X5" s="948">
        <f t="shared" si="0"/>
        <v>44958</v>
      </c>
      <c r="Y5" s="948">
        <f t="shared" si="0"/>
        <v>44986</v>
      </c>
      <c r="Z5" s="949">
        <f t="shared" si="0"/>
        <v>45017</v>
      </c>
      <c r="AA5" s="949">
        <f t="shared" si="0"/>
        <v>45047</v>
      </c>
      <c r="AB5" s="949">
        <f t="shared" si="0"/>
        <v>45078</v>
      </c>
      <c r="AC5" s="948">
        <f t="shared" si="0"/>
        <v>45108</v>
      </c>
      <c r="AD5" s="951">
        <f t="shared" si="0"/>
        <v>45139</v>
      </c>
      <c r="AE5" s="947">
        <f t="shared" si="0"/>
        <v>45170</v>
      </c>
      <c r="AF5" s="948">
        <f t="shared" si="0"/>
        <v>45200</v>
      </c>
      <c r="AG5" s="948">
        <f t="shared" si="0"/>
        <v>45231</v>
      </c>
      <c r="AH5" s="948">
        <f t="shared" si="0"/>
        <v>45261</v>
      </c>
      <c r="AI5" s="948">
        <f t="shared" si="0"/>
        <v>45292</v>
      </c>
      <c r="AJ5" s="951">
        <f>EDATE(AI5,1)</f>
        <v>45323</v>
      </c>
    </row>
    <row r="6" spans="1:42" s="952" customFormat="1" ht="23.25">
      <c r="A6" s="952" t="s">
        <v>413</v>
      </c>
      <c r="B6" s="953">
        <f>AD5</f>
        <v>45139</v>
      </c>
      <c r="D6" s="954" t="s">
        <v>447</v>
      </c>
      <c r="E6" s="955"/>
      <c r="F6" s="1054"/>
      <c r="G6" s="956">
        <f>F7+G7</f>
        <v>4.1818181818181817E-2</v>
      </c>
      <c r="H6" s="957">
        <f>G6+H7</f>
        <v>9.4090909090909086E-2</v>
      </c>
      <c r="I6" s="957">
        <f>H6+I7</f>
        <v>0.16727272727272727</v>
      </c>
      <c r="J6" s="957">
        <f t="shared" ref="J6:AD6" si="1">I6+J7</f>
        <v>0.20909090909090908</v>
      </c>
      <c r="K6" s="957">
        <f t="shared" si="1"/>
        <v>0.22754010695187166</v>
      </c>
      <c r="L6" s="959">
        <f t="shared" si="1"/>
        <v>0.26443850267379682</v>
      </c>
      <c r="M6" s="957">
        <f t="shared" si="1"/>
        <v>0.31978609625668453</v>
      </c>
      <c r="N6" s="957">
        <f t="shared" si="1"/>
        <v>0.37513368983957224</v>
      </c>
      <c r="O6" s="957">
        <f t="shared" si="1"/>
        <v>0.39358288770053479</v>
      </c>
      <c r="P6" s="959">
        <f t="shared" si="1"/>
        <v>0.41818181818181821</v>
      </c>
      <c r="Q6" s="959">
        <f t="shared" si="1"/>
        <v>0.49197860962566847</v>
      </c>
      <c r="R6" s="957">
        <f t="shared" si="1"/>
        <v>0.59037433155080221</v>
      </c>
      <c r="S6" s="960">
        <f t="shared" si="1"/>
        <v>0.63957219251336905</v>
      </c>
      <c r="T6" s="957">
        <f t="shared" si="1"/>
        <v>0.66909090909090918</v>
      </c>
      <c r="U6" s="959">
        <f t="shared" si="1"/>
        <v>0.71828877005347602</v>
      </c>
      <c r="V6" s="957">
        <f>U6+V73</f>
        <v>0.71828877005347602</v>
      </c>
      <c r="W6" s="959">
        <f t="shared" si="1"/>
        <v>0.75764705882352945</v>
      </c>
      <c r="X6" s="957">
        <f t="shared" si="1"/>
        <v>0.79037433155080217</v>
      </c>
      <c r="Y6" s="957">
        <f t="shared" si="1"/>
        <v>0.82310160427807488</v>
      </c>
      <c r="Z6" s="959">
        <f t="shared" si="1"/>
        <v>0.8558288770053476</v>
      </c>
      <c r="AA6" s="959">
        <f t="shared" si="1"/>
        <v>0.88855614973262032</v>
      </c>
      <c r="AB6" s="959">
        <f t="shared" si="1"/>
        <v>0.92128342245989303</v>
      </c>
      <c r="AC6" s="957">
        <f t="shared" si="1"/>
        <v>0.92128342245989303</v>
      </c>
      <c r="AD6" s="961">
        <f t="shared" si="1"/>
        <v>0.92128342245989303</v>
      </c>
      <c r="AE6" s="958"/>
      <c r="AF6" s="957"/>
      <c r="AG6" s="957"/>
      <c r="AH6" s="957"/>
      <c r="AI6" s="957"/>
      <c r="AJ6" s="961"/>
    </row>
    <row r="7" spans="1:42" s="952" customFormat="1" ht="23.25">
      <c r="A7" s="962" t="s">
        <v>448</v>
      </c>
      <c r="B7" s="963" t="str">
        <f>DATEDIF(B5,B6,"m")&amp;" months,"&amp;B6-DATE(YEAR(B6),MONTH(B6),1)&amp;" days"</f>
        <v>23 months,0 days</v>
      </c>
      <c r="D7" s="954" t="s">
        <v>449</v>
      </c>
      <c r="E7" s="955"/>
      <c r="F7" s="1054"/>
      <c r="G7" s="956">
        <f>(G15)/$D$15</f>
        <v>4.1818181818181817E-2</v>
      </c>
      <c r="H7" s="964">
        <f t="shared" ref="H7:AD7" si="2">(H15)/$D$15</f>
        <v>5.2272727272727269E-2</v>
      </c>
      <c r="I7" s="964">
        <f t="shared" si="2"/>
        <v>7.3181818181818181E-2</v>
      </c>
      <c r="J7" s="964">
        <f t="shared" si="2"/>
        <v>4.1818181818181817E-2</v>
      </c>
      <c r="K7" s="964">
        <f t="shared" si="2"/>
        <v>1.8449197860962569E-2</v>
      </c>
      <c r="L7" s="965">
        <f t="shared" si="2"/>
        <v>3.6898395721925138E-2</v>
      </c>
      <c r="M7" s="964">
        <f t="shared" si="2"/>
        <v>5.5347593582887697E-2</v>
      </c>
      <c r="N7" s="964">
        <f t="shared" si="2"/>
        <v>5.5347593582887697E-2</v>
      </c>
      <c r="O7" s="964">
        <f t="shared" si="2"/>
        <v>1.8449197860962569E-2</v>
      </c>
      <c r="P7" s="965">
        <f t="shared" si="2"/>
        <v>2.4598930481283424E-2</v>
      </c>
      <c r="Q7" s="965">
        <f t="shared" si="2"/>
        <v>7.3796791443850276E-2</v>
      </c>
      <c r="R7" s="964">
        <f t="shared" si="2"/>
        <v>9.8395721925133697E-2</v>
      </c>
      <c r="S7" s="966">
        <f t="shared" si="2"/>
        <v>4.9197860962566849E-2</v>
      </c>
      <c r="T7" s="964">
        <f t="shared" si="2"/>
        <v>2.9518716577540103E-2</v>
      </c>
      <c r="U7" s="965">
        <f t="shared" si="2"/>
        <v>4.9197860962566849E-2</v>
      </c>
      <c r="V7" s="964">
        <f t="shared" si="2"/>
        <v>7.8716577540106955E-2</v>
      </c>
      <c r="W7" s="965">
        <f t="shared" si="2"/>
        <v>3.9358288770053478E-2</v>
      </c>
      <c r="X7" s="964">
        <f t="shared" si="2"/>
        <v>3.272727272727273E-2</v>
      </c>
      <c r="Y7" s="964">
        <f t="shared" si="2"/>
        <v>3.272727272727273E-2</v>
      </c>
      <c r="Z7" s="965">
        <f t="shared" si="2"/>
        <v>3.272727272727273E-2</v>
      </c>
      <c r="AA7" s="965">
        <f t="shared" si="2"/>
        <v>3.272727272727273E-2</v>
      </c>
      <c r="AB7" s="965">
        <f t="shared" si="2"/>
        <v>3.272727272727273E-2</v>
      </c>
      <c r="AC7" s="964">
        <f t="shared" si="2"/>
        <v>0</v>
      </c>
      <c r="AD7" s="967">
        <f t="shared" si="2"/>
        <v>0</v>
      </c>
      <c r="AE7" s="956"/>
      <c r="AF7" s="964"/>
      <c r="AG7" s="964"/>
      <c r="AH7" s="964"/>
      <c r="AI7" s="964"/>
      <c r="AJ7" s="967"/>
    </row>
    <row r="8" spans="1:42">
      <c r="A8" s="968"/>
      <c r="B8" s="963"/>
      <c r="D8" s="969" t="s">
        <v>450</v>
      </c>
      <c r="E8" s="970"/>
      <c r="F8" s="1055"/>
      <c r="G8" s="971"/>
      <c r="H8" s="972"/>
      <c r="I8" s="972"/>
      <c r="J8" s="972"/>
      <c r="K8" s="972"/>
      <c r="L8" s="973"/>
      <c r="M8" s="972"/>
      <c r="N8" s="972"/>
      <c r="O8" s="972"/>
      <c r="P8" s="973"/>
      <c r="Q8" s="973"/>
      <c r="R8" s="972"/>
      <c r="S8" s="974"/>
      <c r="T8" s="972"/>
      <c r="U8" s="973"/>
      <c r="V8" s="972"/>
      <c r="W8" s="973"/>
      <c r="X8" s="972"/>
      <c r="Y8" s="972"/>
      <c r="Z8" s="973"/>
      <c r="AA8" s="973"/>
      <c r="AB8" s="973"/>
      <c r="AC8" s="972"/>
      <c r="AD8" s="975"/>
      <c r="AE8" s="971"/>
      <c r="AF8" s="972"/>
      <c r="AG8" s="972"/>
      <c r="AH8" s="972"/>
      <c r="AI8" s="972"/>
      <c r="AJ8" s="975"/>
    </row>
    <row r="9" spans="1:42">
      <c r="A9" s="968"/>
      <c r="B9" s="963"/>
      <c r="E9" s="970"/>
      <c r="F9" s="1055"/>
      <c r="G9" s="971"/>
      <c r="H9" s="972"/>
      <c r="I9" s="972"/>
      <c r="J9" s="972"/>
      <c r="K9" s="972"/>
      <c r="L9" s="973"/>
      <c r="M9" s="972"/>
      <c r="N9" s="972"/>
      <c r="O9" s="972"/>
      <c r="P9" s="973"/>
      <c r="Q9" s="973"/>
      <c r="R9" s="972"/>
      <c r="S9" s="974"/>
      <c r="T9" s="972"/>
      <c r="U9" s="973"/>
      <c r="V9" s="972"/>
      <c r="W9" s="973"/>
      <c r="X9" s="972"/>
      <c r="Y9" s="972"/>
      <c r="Z9" s="973"/>
      <c r="AA9" s="973"/>
      <c r="AB9" s="973"/>
      <c r="AC9" s="972"/>
      <c r="AD9" s="975"/>
      <c r="AE9" s="971"/>
      <c r="AF9" s="972"/>
      <c r="AG9" s="972"/>
      <c r="AH9" s="972"/>
      <c r="AI9" s="972"/>
      <c r="AJ9" s="975"/>
    </row>
    <row r="10" spans="1:42" ht="15">
      <c r="A10" s="976" t="s">
        <v>82</v>
      </c>
      <c r="D10" s="977">
        <f>'Devel. Bud'!D12</f>
        <v>2500000</v>
      </c>
      <c r="E10" s="977"/>
      <c r="F10" s="1056">
        <f>D10</f>
        <v>2500000</v>
      </c>
      <c r="G10" s="978"/>
      <c r="H10" s="979"/>
      <c r="I10" s="979"/>
      <c r="J10" s="979"/>
      <c r="K10" s="979"/>
      <c r="L10" s="980"/>
      <c r="M10" s="979"/>
      <c r="N10" s="979"/>
      <c r="O10" s="979"/>
      <c r="P10" s="980"/>
      <c r="Q10" s="980"/>
      <c r="R10" s="979"/>
      <c r="S10" s="981"/>
      <c r="T10" s="979"/>
      <c r="U10" s="980"/>
      <c r="V10" s="979"/>
      <c r="W10" s="980"/>
      <c r="X10" s="979"/>
      <c r="Y10" s="979"/>
      <c r="Z10" s="980"/>
      <c r="AA10" s="980"/>
      <c r="AB10" s="980"/>
      <c r="AC10" s="979"/>
      <c r="AD10" s="982"/>
      <c r="AE10" s="978"/>
      <c r="AF10" s="979"/>
      <c r="AG10" s="979"/>
      <c r="AH10" s="979"/>
      <c r="AI10" s="979"/>
      <c r="AJ10" s="982"/>
      <c r="AK10" s="983">
        <f>SUM(F10:AD10)-D10</f>
        <v>0</v>
      </c>
    </row>
    <row r="11" spans="1:42" ht="15">
      <c r="A11" s="976"/>
      <c r="D11" s="977"/>
      <c r="E11" s="977"/>
      <c r="F11" s="1057"/>
      <c r="G11" s="978"/>
      <c r="H11" s="979"/>
      <c r="I11" s="979"/>
      <c r="J11" s="979"/>
      <c r="K11" s="979"/>
      <c r="L11" s="980"/>
      <c r="M11" s="979"/>
      <c r="N11" s="979"/>
      <c r="O11" s="979"/>
      <c r="P11" s="980"/>
      <c r="Q11" s="980"/>
      <c r="R11" s="979"/>
      <c r="S11" s="981"/>
      <c r="T11" s="979"/>
      <c r="U11" s="980"/>
      <c r="V11" s="979"/>
      <c r="W11" s="980"/>
      <c r="X11" s="979"/>
      <c r="Y11" s="979"/>
      <c r="Z11" s="980"/>
      <c r="AA11" s="980"/>
      <c r="AB11" s="980"/>
      <c r="AC11" s="979"/>
      <c r="AD11" s="982"/>
      <c r="AE11" s="978"/>
      <c r="AF11" s="979"/>
      <c r="AG11" s="979"/>
      <c r="AH11" s="979"/>
      <c r="AI11" s="979"/>
      <c r="AJ11" s="982"/>
    </row>
    <row r="12" spans="1:42">
      <c r="A12" s="976" t="s">
        <v>451</v>
      </c>
      <c r="B12" s="984" t="s">
        <v>166</v>
      </c>
      <c r="C12" s="984">
        <f>SUM(C16:C42)</f>
        <v>136</v>
      </c>
      <c r="F12" s="1055"/>
      <c r="G12" s="978"/>
      <c r="H12" s="979"/>
      <c r="I12" s="979"/>
      <c r="J12" s="979"/>
      <c r="K12" s="979"/>
      <c r="L12" s="980"/>
      <c r="M12" s="979"/>
      <c r="N12" s="979"/>
      <c r="O12" s="979"/>
      <c r="P12" s="980"/>
      <c r="Q12" s="980"/>
      <c r="R12" s="979"/>
      <c r="S12" s="981"/>
      <c r="T12" s="979"/>
      <c r="U12" s="980"/>
      <c r="V12" s="979"/>
      <c r="W12" s="980"/>
      <c r="X12" s="979"/>
      <c r="Y12" s="979"/>
      <c r="Z12" s="980"/>
      <c r="AA12" s="980"/>
      <c r="AB12" s="980"/>
      <c r="AC12" s="979"/>
      <c r="AD12" s="982"/>
      <c r="AE12" s="978"/>
      <c r="AF12" s="979"/>
      <c r="AG12" s="979"/>
      <c r="AH12" s="979"/>
      <c r="AI12" s="979"/>
      <c r="AJ12" s="982"/>
      <c r="AK12" s="985" t="s">
        <v>452</v>
      </c>
    </row>
    <row r="13" spans="1:42" ht="12" customHeight="1">
      <c r="A13" s="976"/>
      <c r="B13" s="984" t="s">
        <v>32</v>
      </c>
      <c r="C13" s="984">
        <v>28</v>
      </c>
      <c r="D13" s="984"/>
      <c r="E13" s="984"/>
      <c r="F13" s="1055"/>
      <c r="G13" s="978"/>
      <c r="H13" s="979"/>
      <c r="I13" s="979"/>
      <c r="J13" s="979"/>
      <c r="K13" s="979"/>
      <c r="L13" s="1072"/>
      <c r="M13" s="979"/>
      <c r="N13" s="979"/>
      <c r="O13" s="979"/>
      <c r="P13" s="980"/>
      <c r="Q13" s="980"/>
      <c r="R13" s="979"/>
      <c r="S13" s="981"/>
      <c r="T13" s="979"/>
      <c r="U13" s="1072"/>
      <c r="V13" s="979"/>
      <c r="W13" s="981"/>
      <c r="X13" s="979"/>
      <c r="Y13" s="979"/>
      <c r="Z13" s="980"/>
      <c r="AA13" s="980"/>
      <c r="AB13" s="980"/>
      <c r="AC13" s="979"/>
      <c r="AD13" s="982"/>
      <c r="AE13" s="978"/>
      <c r="AF13" s="979"/>
      <c r="AG13" s="979"/>
      <c r="AH13" s="979"/>
      <c r="AI13" s="979"/>
      <c r="AJ13" s="982"/>
      <c r="AK13" s="985"/>
    </row>
    <row r="14" spans="1:42">
      <c r="A14" s="986" t="s">
        <v>519</v>
      </c>
      <c r="B14" s="968" t="s">
        <v>522</v>
      </c>
      <c r="C14" s="984"/>
      <c r="D14" s="987">
        <f>'Source by Use'!E11</f>
        <v>9675143</v>
      </c>
      <c r="E14" s="987"/>
      <c r="F14" s="1058"/>
      <c r="G14" s="988">
        <f>SUM($J$16:$J$43)/$C$12*20%*($D$14-1800000)</f>
        <v>393757.15</v>
      </c>
      <c r="H14" s="989">
        <f>SUM($J$16:$J$43)/$C$12*25%*($D$14-1800000)</f>
        <v>492196.4375</v>
      </c>
      <c r="I14" s="989">
        <f>SUM($J$16:$J$43)/$C$12*35%*($D$14-1800000)</f>
        <v>689075.01249999995</v>
      </c>
      <c r="J14" s="989">
        <f>SUM($J$16:$J$43)/$C$12*20%*($D$14-1800000)</f>
        <v>393757.15</v>
      </c>
      <c r="K14" s="989">
        <f>SUM($O$16:$O$43)/$C$12*10%*($D$14-1800000)</f>
        <v>173716.38970588238</v>
      </c>
      <c r="L14" s="990">
        <f>SUM($O$16:$O$43)/$C$12*20%*($D$14-1800000)</f>
        <v>347432.77941176476</v>
      </c>
      <c r="M14" s="989">
        <f>SUM($O$16:$O$43)/$C$12*30%*($D$14-1800000)</f>
        <v>521149.16911764705</v>
      </c>
      <c r="N14" s="989">
        <f>SUM($O$16:$O$43)/$C$12*30%*($D$14-1800000)</f>
        <v>521149.16911764705</v>
      </c>
      <c r="O14" s="989">
        <f>SUM($O$16:$O$43)/$C$12*10%*($D$14-1800000)</f>
        <v>173716.38970588238</v>
      </c>
      <c r="P14" s="992">
        <f>SUM($S$16:$S$43)/$C$12*10%*($D$14-1800000)</f>
        <v>231621.8529411765</v>
      </c>
      <c r="Q14" s="992">
        <f>SUM($S$16:$S$43)/$C$12*30%*($D$14-1800000)</f>
        <v>694865.55882352951</v>
      </c>
      <c r="R14" s="989">
        <f>SUM($S$16:$S$43)/$C$12*40%*($D$14-1800000)</f>
        <v>926487.41176470602</v>
      </c>
      <c r="S14" s="990">
        <f>SUM($S$16:$S$43)/$C$12*20%*($D$14-1800000)</f>
        <v>463243.70588235301</v>
      </c>
      <c r="T14" s="989">
        <f>SUM($W$16:$W$43)/$C$12*15%*($D$14-1800000)</f>
        <v>277946.22352941177</v>
      </c>
      <c r="U14" s="990">
        <f>SUM($W$16:$W$43)/$C$12*25%*($D$14-1800000)</f>
        <v>463243.70588235295</v>
      </c>
      <c r="V14" s="989">
        <f>SUM($W$17:$W$44)/$C$12*40%*($D$14-1800000)</f>
        <v>741189.92941176472</v>
      </c>
      <c r="W14" s="990">
        <f>SUM($W$16:$W$43)/$C$12*20%*($D$14-1800000)</f>
        <v>370594.96470588236</v>
      </c>
      <c r="X14" s="989">
        <f>1800000/5</f>
        <v>360000</v>
      </c>
      <c r="Y14" s="989">
        <f t="shared" ref="Y14:AA15" si="3">1800000/5</f>
        <v>360000</v>
      </c>
      <c r="Z14" s="989">
        <f t="shared" si="3"/>
        <v>360000</v>
      </c>
      <c r="AA14" s="989">
        <f t="shared" si="3"/>
        <v>360000</v>
      </c>
      <c r="AB14" s="992">
        <f>D14-SUM(G14:AA14)</f>
        <v>360000</v>
      </c>
      <c r="AC14" s="989"/>
      <c r="AD14" s="991"/>
      <c r="AE14" s="988"/>
      <c r="AF14" s="989"/>
      <c r="AG14" s="989"/>
      <c r="AH14" s="989"/>
      <c r="AI14" s="989"/>
      <c r="AJ14" s="991">
        <f>D14-SUM(F14:AI14)</f>
        <v>0</v>
      </c>
      <c r="AK14" s="983">
        <f>SUM(F14:AD14)-D14</f>
        <v>0</v>
      </c>
    </row>
    <row r="15" spans="1:42">
      <c r="A15" s="986" t="s">
        <v>519</v>
      </c>
      <c r="B15" s="968" t="s">
        <v>521</v>
      </c>
      <c r="C15" s="984"/>
      <c r="D15" s="987">
        <f>'Source by Use'!H11</f>
        <v>11000000</v>
      </c>
      <c r="E15" s="987"/>
      <c r="F15" s="1058"/>
      <c r="G15" s="988">
        <f>SUM($J$16:$J$43)/$C$12*20%*($D$15-1800000)</f>
        <v>460000</v>
      </c>
      <c r="H15" s="989">
        <f>SUM($J$16:$J$43)/$C$12*25%*($D$15-1800000)</f>
        <v>575000</v>
      </c>
      <c r="I15" s="989">
        <f>SUM($J$16:$J$43)/$C$12*35%*($D$15-1800000)</f>
        <v>805000</v>
      </c>
      <c r="J15" s="989">
        <f>SUM($J$16:$J$43)/$C$12*20%*($D$15-1800000)</f>
        <v>460000</v>
      </c>
      <c r="K15" s="989">
        <f>SUM($O$16:$O$43)/$C$12*10%*($D$15-1800000)</f>
        <v>202941.17647058825</v>
      </c>
      <c r="L15" s="990">
        <f>SUM($O$16:$O$43)/$C$12*20%*($D$15-1800000)</f>
        <v>405882.3529411765</v>
      </c>
      <c r="M15" s="989">
        <f>SUM($O$16:$O$43)/$C$12*30%*($D$15-1800000)</f>
        <v>608823.5294117647</v>
      </c>
      <c r="N15" s="989">
        <f>SUM($O$16:$O$43)/$C$12*30%*($D$15-1800000)</f>
        <v>608823.5294117647</v>
      </c>
      <c r="O15" s="989">
        <f>SUM($O$16:$O$43)/$C$12*10%*($D$15-1800000)</f>
        <v>202941.17647058825</v>
      </c>
      <c r="P15" s="992">
        <f>SUM($S$16:$S$43)/$C$12*10%*($D$15-1800000)</f>
        <v>270588.23529411765</v>
      </c>
      <c r="Q15" s="992">
        <f>SUM($S$16:$S$43)/$C$12*30%*($D$15-1800000)</f>
        <v>811764.70588235301</v>
      </c>
      <c r="R15" s="989">
        <f>SUM($S$16:$S$43)/$C$12*40%*($D$15-1800000)</f>
        <v>1082352.9411764706</v>
      </c>
      <c r="S15" s="990">
        <f>SUM($S$16:$S$43)/$C$12*20%*($D$15-1800000)</f>
        <v>541176.4705882353</v>
      </c>
      <c r="T15" s="989">
        <f>SUM($W$16:$W$43)/$C$12*15%*($D$15-1800000)</f>
        <v>324705.88235294115</v>
      </c>
      <c r="U15" s="990">
        <f>SUM($W$16:$W$43)/$C$12*25%*($D$15-1800000)</f>
        <v>541176.4705882353</v>
      </c>
      <c r="V15" s="989">
        <f>SUM($W$17:$W$44)/$C$12*40%*($D$15-1800000)</f>
        <v>865882.3529411765</v>
      </c>
      <c r="W15" s="990">
        <f>SUM($W$16:$W$43)/$C$12*20%*($D$15-1800000)</f>
        <v>432941.17647058825</v>
      </c>
      <c r="X15" s="989">
        <f>1800000/5</f>
        <v>360000</v>
      </c>
      <c r="Y15" s="989">
        <f t="shared" si="3"/>
        <v>360000</v>
      </c>
      <c r="Z15" s="989">
        <f t="shared" si="3"/>
        <v>360000</v>
      </c>
      <c r="AA15" s="989">
        <f t="shared" si="3"/>
        <v>360000</v>
      </c>
      <c r="AB15" s="992">
        <f>D15-SUM(G15:AA15)</f>
        <v>360000</v>
      </c>
      <c r="AC15" s="989"/>
      <c r="AD15" s="991"/>
      <c r="AE15" s="988"/>
      <c r="AF15" s="989"/>
      <c r="AG15" s="989"/>
      <c r="AH15" s="989"/>
      <c r="AI15" s="989"/>
      <c r="AJ15" s="991">
        <f>D15-SUM(F15:AI15)</f>
        <v>0</v>
      </c>
      <c r="AK15" s="983">
        <f>SUM(F15:AD15)-D15</f>
        <v>0</v>
      </c>
    </row>
    <row r="16" spans="1:42" outlineLevel="1">
      <c r="A16" s="993" t="s">
        <v>542</v>
      </c>
      <c r="C16" s="984">
        <v>8</v>
      </c>
      <c r="D16" s="994"/>
      <c r="E16" s="994"/>
      <c r="F16" s="1056"/>
      <c r="G16" s="988"/>
      <c r="H16" s="989"/>
      <c r="I16" s="989"/>
      <c r="J16" s="989">
        <f>C16</f>
        <v>8</v>
      </c>
      <c r="K16" s="989"/>
      <c r="L16" s="992"/>
      <c r="M16" s="989"/>
      <c r="N16" s="989"/>
      <c r="O16" s="989"/>
      <c r="P16" s="992"/>
      <c r="Q16" s="992"/>
      <c r="R16" s="989"/>
      <c r="S16" s="990"/>
      <c r="T16" s="989"/>
      <c r="U16" s="992"/>
      <c r="V16" s="989"/>
      <c r="W16" s="992"/>
      <c r="X16" s="989"/>
      <c r="Y16" s="989"/>
      <c r="Z16" s="992"/>
      <c r="AA16" s="992"/>
      <c r="AB16" s="992"/>
      <c r="AC16" s="989"/>
      <c r="AD16" s="991"/>
      <c r="AE16" s="988"/>
      <c r="AF16" s="989"/>
      <c r="AG16" s="989"/>
      <c r="AH16" s="989"/>
      <c r="AI16" s="989"/>
      <c r="AJ16" s="991"/>
    </row>
    <row r="17" spans="1:36" outlineLevel="1">
      <c r="A17" s="993" t="s">
        <v>544</v>
      </c>
      <c r="C17" s="984">
        <v>8</v>
      </c>
      <c r="D17" s="994"/>
      <c r="E17" s="994"/>
      <c r="F17" s="1056"/>
      <c r="G17" s="988"/>
      <c r="H17" s="989"/>
      <c r="I17" s="989"/>
      <c r="J17" s="989">
        <f t="shared" ref="J17:J18" si="4">C17</f>
        <v>8</v>
      </c>
      <c r="K17" s="989"/>
      <c r="L17" s="992"/>
      <c r="M17" s="989"/>
      <c r="N17" s="989"/>
      <c r="O17" s="989"/>
      <c r="P17" s="992"/>
      <c r="Q17" s="992"/>
      <c r="R17" s="989"/>
      <c r="S17" s="990"/>
      <c r="T17" s="989"/>
      <c r="U17" s="992"/>
      <c r="V17" s="989"/>
      <c r="W17" s="992"/>
      <c r="X17" s="989"/>
      <c r="Y17" s="989"/>
      <c r="Z17" s="992"/>
      <c r="AA17" s="992"/>
      <c r="AB17" s="992"/>
      <c r="AC17" s="989"/>
      <c r="AD17" s="991"/>
      <c r="AE17" s="988"/>
      <c r="AF17" s="989"/>
      <c r="AG17" s="989"/>
      <c r="AH17" s="989"/>
      <c r="AI17" s="989"/>
      <c r="AJ17" s="991"/>
    </row>
    <row r="18" spans="1:36" outlineLevel="1">
      <c r="A18" s="993" t="s">
        <v>545</v>
      </c>
      <c r="C18" s="984">
        <v>8</v>
      </c>
      <c r="D18" s="994"/>
      <c r="E18" s="994"/>
      <c r="F18" s="1056"/>
      <c r="G18" s="988"/>
      <c r="H18" s="989"/>
      <c r="I18" s="989"/>
      <c r="J18" s="989">
        <f t="shared" si="4"/>
        <v>8</v>
      </c>
      <c r="K18" s="989"/>
      <c r="L18" s="992"/>
      <c r="M18" s="989"/>
      <c r="N18" s="989"/>
      <c r="O18" s="989"/>
      <c r="P18" s="992"/>
      <c r="Q18" s="992"/>
      <c r="R18" s="989"/>
      <c r="S18" s="990"/>
      <c r="T18" s="989"/>
      <c r="U18" s="992"/>
      <c r="V18" s="989"/>
      <c r="W18" s="992"/>
      <c r="X18" s="989"/>
      <c r="Y18" s="989"/>
      <c r="Z18" s="992"/>
      <c r="AA18" s="992"/>
      <c r="AB18" s="992"/>
      <c r="AC18" s="989"/>
      <c r="AD18" s="991"/>
      <c r="AE18" s="988"/>
      <c r="AF18" s="989"/>
      <c r="AG18" s="989"/>
      <c r="AH18" s="989"/>
      <c r="AI18" s="989"/>
      <c r="AJ18" s="991"/>
    </row>
    <row r="19" spans="1:36" outlineLevel="1">
      <c r="A19" s="995" t="s">
        <v>546</v>
      </c>
      <c r="C19" s="984">
        <v>8</v>
      </c>
      <c r="D19" s="994"/>
      <c r="E19" s="994"/>
      <c r="F19" s="1056"/>
      <c r="G19" s="988"/>
      <c r="H19" s="989"/>
      <c r="I19" s="989"/>
      <c r="J19" s="989"/>
      <c r="K19" s="989"/>
      <c r="L19" s="992"/>
      <c r="M19" s="989"/>
      <c r="N19" s="989"/>
      <c r="O19" s="989">
        <f>C19</f>
        <v>8</v>
      </c>
      <c r="P19" s="992"/>
      <c r="Q19" s="992"/>
      <c r="R19" s="989"/>
      <c r="S19" s="990"/>
      <c r="T19" s="989"/>
      <c r="U19" s="992"/>
      <c r="V19" s="989"/>
      <c r="W19" s="992"/>
      <c r="X19" s="989"/>
      <c r="Y19" s="989"/>
      <c r="Z19" s="992"/>
      <c r="AA19" s="992"/>
      <c r="AB19" s="992"/>
      <c r="AC19" s="989"/>
      <c r="AD19" s="991"/>
      <c r="AE19" s="988"/>
      <c r="AF19" s="989"/>
      <c r="AG19" s="989"/>
      <c r="AH19" s="989"/>
      <c r="AI19" s="989"/>
      <c r="AJ19" s="991"/>
    </row>
    <row r="20" spans="1:36" outlineLevel="1">
      <c r="A20" s="995" t="s">
        <v>548</v>
      </c>
      <c r="C20" s="984">
        <v>6</v>
      </c>
      <c r="D20" s="994"/>
      <c r="E20" s="994"/>
      <c r="F20" s="1056"/>
      <c r="G20" s="988"/>
      <c r="H20" s="989"/>
      <c r="I20" s="989"/>
      <c r="J20" s="989"/>
      <c r="K20" s="989"/>
      <c r="L20" s="992"/>
      <c r="M20" s="989"/>
      <c r="N20" s="989"/>
      <c r="O20" s="989">
        <f t="shared" ref="O20:O21" si="5">C20</f>
        <v>6</v>
      </c>
      <c r="P20" s="992"/>
      <c r="Q20" s="992"/>
      <c r="R20" s="989"/>
      <c r="S20" s="990"/>
      <c r="T20" s="989"/>
      <c r="U20" s="992"/>
      <c r="V20" s="989"/>
      <c r="W20" s="992"/>
      <c r="X20" s="989"/>
      <c r="Y20" s="989"/>
      <c r="Z20" s="992"/>
      <c r="AA20" s="992"/>
      <c r="AB20" s="992"/>
      <c r="AC20" s="989"/>
      <c r="AD20" s="991"/>
      <c r="AE20" s="988"/>
      <c r="AF20" s="989"/>
      <c r="AG20" s="989"/>
      <c r="AH20" s="989"/>
      <c r="AI20" s="989"/>
      <c r="AJ20" s="991"/>
    </row>
    <row r="21" spans="1:36" outlineLevel="1">
      <c r="A21" s="995" t="s">
        <v>549</v>
      </c>
      <c r="C21" s="984">
        <v>8</v>
      </c>
      <c r="D21" s="994"/>
      <c r="E21" s="994"/>
      <c r="F21" s="1056"/>
      <c r="G21" s="988"/>
      <c r="H21" s="989"/>
      <c r="I21" s="989"/>
      <c r="J21" s="989"/>
      <c r="K21" s="989"/>
      <c r="L21" s="992"/>
      <c r="M21" s="989"/>
      <c r="N21" s="989"/>
      <c r="O21" s="989">
        <f t="shared" si="5"/>
        <v>8</v>
      </c>
      <c r="P21" s="992"/>
      <c r="Q21" s="992"/>
      <c r="R21" s="989"/>
      <c r="T21" s="989"/>
      <c r="U21" s="992"/>
      <c r="V21" s="989"/>
      <c r="W21" s="992"/>
      <c r="X21" s="989"/>
      <c r="Y21" s="989"/>
      <c r="Z21" s="992"/>
      <c r="AA21" s="992"/>
      <c r="AB21" s="992"/>
      <c r="AC21" s="989"/>
      <c r="AD21" s="991"/>
      <c r="AE21" s="988"/>
      <c r="AF21" s="989"/>
      <c r="AG21" s="989"/>
      <c r="AH21" s="989"/>
      <c r="AI21" s="989"/>
      <c r="AJ21" s="991"/>
    </row>
    <row r="22" spans="1:36" outlineLevel="1">
      <c r="A22" s="996" t="s">
        <v>550</v>
      </c>
      <c r="C22" s="984">
        <v>8</v>
      </c>
      <c r="D22" s="994"/>
      <c r="E22" s="994"/>
      <c r="F22" s="1056"/>
      <c r="G22" s="988"/>
      <c r="H22" s="989"/>
      <c r="I22" s="989"/>
      <c r="J22" s="989"/>
      <c r="K22" s="989"/>
      <c r="L22" s="992"/>
      <c r="M22" s="989"/>
      <c r="N22" s="989"/>
      <c r="O22" s="989"/>
      <c r="P22" s="992"/>
      <c r="Q22" s="992"/>
      <c r="R22" s="989"/>
      <c r="T22" s="989"/>
      <c r="U22" s="992"/>
      <c r="V22" s="989"/>
      <c r="W22" s="992">
        <f>C22</f>
        <v>8</v>
      </c>
      <c r="X22" s="989"/>
      <c r="Y22" s="989"/>
      <c r="Z22" s="992"/>
      <c r="AA22" s="992"/>
      <c r="AB22" s="992"/>
      <c r="AC22" s="989"/>
      <c r="AD22" s="991"/>
      <c r="AE22" s="988"/>
      <c r="AF22" s="989"/>
      <c r="AG22" s="989"/>
      <c r="AH22" s="989"/>
      <c r="AI22" s="989"/>
      <c r="AJ22" s="991"/>
    </row>
    <row r="23" spans="1:36" outlineLevel="1">
      <c r="A23" s="996" t="s">
        <v>552</v>
      </c>
      <c r="C23" s="984">
        <v>8</v>
      </c>
      <c r="D23" s="994"/>
      <c r="E23" s="994"/>
      <c r="F23" s="1056"/>
      <c r="G23" s="988"/>
      <c r="H23" s="989"/>
      <c r="I23" s="989"/>
      <c r="J23" s="989"/>
      <c r="K23" s="989"/>
      <c r="L23" s="992"/>
      <c r="M23" s="989"/>
      <c r="N23" s="989"/>
      <c r="O23" s="989"/>
      <c r="P23" s="992"/>
      <c r="Q23" s="992"/>
      <c r="R23" s="989"/>
      <c r="T23" s="989"/>
      <c r="U23" s="992"/>
      <c r="V23" s="989"/>
      <c r="W23" s="992">
        <f t="shared" ref="W23:W25" si="6">C23</f>
        <v>8</v>
      </c>
      <c r="X23" s="989"/>
      <c r="Y23" s="989"/>
      <c r="Z23" s="992"/>
      <c r="AA23" s="992"/>
      <c r="AB23" s="992"/>
      <c r="AC23" s="989"/>
      <c r="AD23" s="991"/>
      <c r="AE23" s="988"/>
      <c r="AF23" s="989"/>
      <c r="AG23" s="989"/>
      <c r="AH23" s="989"/>
      <c r="AI23" s="989"/>
      <c r="AJ23" s="991"/>
    </row>
    <row r="24" spans="1:36" outlineLevel="1">
      <c r="A24" s="996" t="s">
        <v>553</v>
      </c>
      <c r="C24" s="984">
        <v>8</v>
      </c>
      <c r="D24" s="994"/>
      <c r="E24" s="994"/>
      <c r="F24" s="1056"/>
      <c r="G24" s="988"/>
      <c r="H24" s="989"/>
      <c r="I24" s="989"/>
      <c r="J24" s="989"/>
      <c r="K24" s="989"/>
      <c r="L24" s="992"/>
      <c r="M24" s="989"/>
      <c r="N24" s="989"/>
      <c r="O24" s="989"/>
      <c r="P24" s="992"/>
      <c r="Q24" s="992"/>
      <c r="R24" s="989"/>
      <c r="T24" s="989"/>
      <c r="U24" s="992"/>
      <c r="V24" s="989"/>
      <c r="W24" s="992">
        <f t="shared" si="6"/>
        <v>8</v>
      </c>
      <c r="X24" s="989"/>
      <c r="Y24" s="989"/>
      <c r="Z24" s="992"/>
      <c r="AA24" s="992"/>
      <c r="AB24" s="992"/>
      <c r="AC24" s="989"/>
      <c r="AD24" s="991"/>
      <c r="AE24" s="988"/>
      <c r="AF24" s="989"/>
      <c r="AG24" s="989"/>
      <c r="AH24" s="989"/>
      <c r="AI24" s="989"/>
      <c r="AJ24" s="991"/>
    </row>
    <row r="25" spans="1:36" outlineLevel="1">
      <c r="A25" s="996" t="s">
        <v>554</v>
      </c>
      <c r="C25" s="984">
        <v>8</v>
      </c>
      <c r="D25" s="994"/>
      <c r="E25" s="994"/>
      <c r="F25" s="1056"/>
      <c r="G25" s="988"/>
      <c r="H25" s="989"/>
      <c r="I25" s="989"/>
      <c r="J25" s="989"/>
      <c r="K25" s="989"/>
      <c r="L25" s="992"/>
      <c r="M25" s="989"/>
      <c r="N25" s="989"/>
      <c r="O25" s="989"/>
      <c r="P25" s="992"/>
      <c r="Q25" s="992"/>
      <c r="R25" s="989"/>
      <c r="T25" s="989"/>
      <c r="U25" s="992"/>
      <c r="V25" s="989"/>
      <c r="W25" s="992">
        <f t="shared" si="6"/>
        <v>8</v>
      </c>
      <c r="X25" s="989"/>
      <c r="Y25" s="989"/>
      <c r="Z25" s="992"/>
      <c r="AA25" s="992"/>
      <c r="AB25" s="992"/>
      <c r="AC25" s="989"/>
      <c r="AD25" s="991"/>
      <c r="AE25" s="988"/>
      <c r="AF25" s="989"/>
      <c r="AG25" s="989"/>
      <c r="AH25" s="989"/>
      <c r="AI25" s="989"/>
      <c r="AJ25" s="991"/>
    </row>
    <row r="26" spans="1:36" outlineLevel="1">
      <c r="A26" s="997" t="s">
        <v>555</v>
      </c>
      <c r="C26" s="984">
        <v>8</v>
      </c>
      <c r="D26" s="994"/>
      <c r="E26" s="994"/>
      <c r="F26" s="1056"/>
      <c r="G26" s="988"/>
      <c r="H26" s="989"/>
      <c r="I26" s="989"/>
      <c r="J26" s="989"/>
      <c r="K26" s="989"/>
      <c r="L26" s="992"/>
      <c r="M26" s="989"/>
      <c r="N26" s="989"/>
      <c r="O26" s="989"/>
      <c r="P26" s="1075"/>
      <c r="Q26" s="992"/>
      <c r="R26" s="989"/>
      <c r="S26" s="990">
        <f>C26</f>
        <v>8</v>
      </c>
      <c r="T26" s="989"/>
      <c r="U26" s="992"/>
      <c r="V26" s="989"/>
      <c r="W26" s="992"/>
      <c r="X26" s="989"/>
      <c r="Y26" s="989"/>
      <c r="Z26" s="992"/>
      <c r="AA26" s="992"/>
      <c r="AB26" s="992"/>
      <c r="AC26" s="989"/>
      <c r="AD26" s="991"/>
      <c r="AE26" s="988"/>
      <c r="AF26" s="989"/>
      <c r="AG26" s="989"/>
      <c r="AH26" s="989"/>
      <c r="AI26" s="989"/>
      <c r="AJ26" s="991"/>
    </row>
    <row r="27" spans="1:36" outlineLevel="1">
      <c r="A27" s="997" t="s">
        <v>557</v>
      </c>
      <c r="C27" s="984">
        <v>8</v>
      </c>
      <c r="D27" s="994"/>
      <c r="E27" s="994"/>
      <c r="F27" s="1056"/>
      <c r="G27" s="988"/>
      <c r="H27" s="989"/>
      <c r="I27" s="989"/>
      <c r="J27" s="989"/>
      <c r="K27" s="989"/>
      <c r="L27" s="992"/>
      <c r="M27" s="989"/>
      <c r="N27" s="989"/>
      <c r="O27" s="989"/>
      <c r="P27" s="1075"/>
      <c r="Q27" s="992"/>
      <c r="R27" s="989"/>
      <c r="S27" s="990">
        <f t="shared" ref="S27:S33" si="7">C27</f>
        <v>8</v>
      </c>
      <c r="T27" s="989"/>
      <c r="U27" s="992"/>
      <c r="V27" s="989"/>
      <c r="W27" s="992"/>
      <c r="X27" s="989"/>
      <c r="Y27" s="989"/>
      <c r="Z27" s="992"/>
      <c r="AA27" s="992"/>
      <c r="AB27" s="992"/>
      <c r="AC27" s="989"/>
      <c r="AD27" s="991"/>
      <c r="AE27" s="988"/>
      <c r="AF27" s="989"/>
      <c r="AG27" s="989"/>
      <c r="AH27" s="989"/>
      <c r="AI27" s="989"/>
      <c r="AJ27" s="991"/>
    </row>
    <row r="28" spans="1:36" outlineLevel="1">
      <c r="A28" s="997" t="s">
        <v>558</v>
      </c>
      <c r="C28" s="984">
        <v>8</v>
      </c>
      <c r="D28" s="994"/>
      <c r="E28" s="994"/>
      <c r="F28" s="1056"/>
      <c r="G28" s="988"/>
      <c r="H28" s="989"/>
      <c r="I28" s="989"/>
      <c r="J28" s="989"/>
      <c r="K28" s="989"/>
      <c r="L28" s="992"/>
      <c r="M28" s="989"/>
      <c r="N28" s="989"/>
      <c r="O28" s="989"/>
      <c r="P28" s="1075"/>
      <c r="Q28" s="992"/>
      <c r="R28" s="989"/>
      <c r="S28" s="990">
        <f t="shared" si="7"/>
        <v>8</v>
      </c>
      <c r="T28" s="989"/>
      <c r="U28" s="992"/>
      <c r="V28" s="989"/>
      <c r="W28" s="992"/>
      <c r="X28" s="989"/>
      <c r="Y28" s="989"/>
      <c r="Z28" s="992"/>
      <c r="AA28" s="992"/>
      <c r="AB28" s="992"/>
      <c r="AC28" s="989"/>
      <c r="AD28" s="991"/>
      <c r="AE28" s="988"/>
      <c r="AF28" s="989"/>
      <c r="AG28" s="989"/>
      <c r="AH28" s="989"/>
      <c r="AI28" s="989"/>
      <c r="AJ28" s="991"/>
    </row>
    <row r="29" spans="1:36" outlineLevel="1">
      <c r="A29" s="997" t="s">
        <v>559</v>
      </c>
      <c r="C29" s="984">
        <v>8</v>
      </c>
      <c r="D29" s="994"/>
      <c r="E29" s="994"/>
      <c r="F29" s="1056"/>
      <c r="G29" s="988"/>
      <c r="H29" s="989"/>
      <c r="I29" s="989"/>
      <c r="J29" s="989"/>
      <c r="K29" s="989"/>
      <c r="L29" s="992"/>
      <c r="M29" s="989"/>
      <c r="N29" s="989"/>
      <c r="O29" s="989"/>
      <c r="P29" s="1075"/>
      <c r="Q29" s="992"/>
      <c r="R29" s="989"/>
      <c r="S29" s="990">
        <f t="shared" si="7"/>
        <v>8</v>
      </c>
      <c r="T29" s="989"/>
      <c r="U29" s="992"/>
      <c r="V29" s="989"/>
      <c r="W29" s="992"/>
      <c r="X29" s="989"/>
      <c r="Y29" s="989"/>
      <c r="Z29" s="992"/>
      <c r="AA29" s="992"/>
      <c r="AB29" s="992"/>
      <c r="AC29" s="989"/>
      <c r="AD29" s="991"/>
      <c r="AE29" s="988"/>
      <c r="AF29" s="989"/>
      <c r="AG29" s="989"/>
      <c r="AH29" s="989"/>
      <c r="AI29" s="989"/>
      <c r="AJ29" s="991"/>
    </row>
    <row r="30" spans="1:36" outlineLevel="1">
      <c r="A30" s="997" t="s">
        <v>560</v>
      </c>
      <c r="C30" s="984">
        <v>2</v>
      </c>
      <c r="D30" s="994"/>
      <c r="E30" s="994"/>
      <c r="F30" s="1056"/>
      <c r="G30" s="988"/>
      <c r="H30" s="989"/>
      <c r="I30" s="989"/>
      <c r="J30" s="989"/>
      <c r="K30" s="989"/>
      <c r="L30" s="992"/>
      <c r="M30" s="989"/>
      <c r="N30" s="989"/>
      <c r="O30" s="989"/>
      <c r="P30" s="1075"/>
      <c r="Q30" s="992"/>
      <c r="R30" s="989"/>
      <c r="S30" s="990">
        <f t="shared" si="7"/>
        <v>2</v>
      </c>
      <c r="T30" s="989"/>
      <c r="U30" s="992"/>
      <c r="V30" s="989"/>
      <c r="W30" s="992"/>
      <c r="X30" s="989"/>
      <c r="Y30" s="989"/>
      <c r="Z30" s="992"/>
      <c r="AA30" s="992"/>
      <c r="AB30" s="992"/>
      <c r="AC30" s="989"/>
      <c r="AD30" s="991"/>
      <c r="AE30" s="988"/>
      <c r="AF30" s="989"/>
      <c r="AG30" s="989"/>
      <c r="AH30" s="989"/>
      <c r="AI30" s="989"/>
      <c r="AJ30" s="991"/>
    </row>
    <row r="31" spans="1:36" outlineLevel="1">
      <c r="A31" s="997" t="s">
        <v>561</v>
      </c>
      <c r="C31" s="984">
        <v>2</v>
      </c>
      <c r="D31" s="994"/>
      <c r="E31" s="994"/>
      <c r="F31" s="1056"/>
      <c r="G31" s="988"/>
      <c r="H31" s="989"/>
      <c r="I31" s="989"/>
      <c r="J31" s="989"/>
      <c r="K31" s="989"/>
      <c r="L31" s="992"/>
      <c r="M31" s="989"/>
      <c r="N31" s="989"/>
      <c r="O31" s="989"/>
      <c r="P31" s="1075"/>
      <c r="Q31" s="992"/>
      <c r="R31" s="989"/>
      <c r="S31" s="990">
        <f t="shared" si="7"/>
        <v>2</v>
      </c>
      <c r="T31" s="989"/>
      <c r="U31" s="992"/>
      <c r="V31" s="989"/>
      <c r="W31" s="992"/>
      <c r="X31" s="989"/>
      <c r="Y31" s="989"/>
      <c r="Z31" s="992"/>
      <c r="AA31" s="992"/>
      <c r="AB31" s="992"/>
      <c r="AC31" s="989"/>
      <c r="AD31" s="991"/>
      <c r="AE31" s="988"/>
      <c r="AF31" s="989"/>
      <c r="AG31" s="989"/>
      <c r="AH31" s="989"/>
      <c r="AI31" s="989"/>
      <c r="AJ31" s="991"/>
    </row>
    <row r="32" spans="1:36" outlineLevel="1">
      <c r="A32" s="997" t="s">
        <v>562</v>
      </c>
      <c r="C32" s="984">
        <v>2</v>
      </c>
      <c r="D32" s="994"/>
      <c r="E32" s="994"/>
      <c r="F32" s="1056"/>
      <c r="G32" s="988"/>
      <c r="H32" s="989"/>
      <c r="I32" s="989"/>
      <c r="J32" s="989"/>
      <c r="K32" s="989"/>
      <c r="L32" s="992"/>
      <c r="M32" s="989"/>
      <c r="N32" s="989"/>
      <c r="O32" s="989"/>
      <c r="P32" s="1075"/>
      <c r="Q32" s="992"/>
      <c r="R32" s="989"/>
      <c r="S32" s="990">
        <f t="shared" si="7"/>
        <v>2</v>
      </c>
      <c r="T32" s="989"/>
      <c r="U32" s="992"/>
      <c r="V32" s="989"/>
      <c r="W32" s="992"/>
      <c r="X32" s="989"/>
      <c r="Y32" s="989"/>
      <c r="Z32" s="992"/>
      <c r="AA32" s="992"/>
      <c r="AB32" s="992"/>
      <c r="AC32" s="989"/>
      <c r="AD32" s="991"/>
      <c r="AE32" s="988"/>
      <c r="AF32" s="989"/>
      <c r="AG32" s="989"/>
      <c r="AH32" s="989"/>
      <c r="AI32" s="989"/>
      <c r="AJ32" s="991"/>
    </row>
    <row r="33" spans="1:37" outlineLevel="1">
      <c r="A33" s="997" t="s">
        <v>563</v>
      </c>
      <c r="C33" s="984">
        <v>2</v>
      </c>
      <c r="D33" s="994"/>
      <c r="E33" s="994"/>
      <c r="F33" s="1056"/>
      <c r="G33" s="988"/>
      <c r="H33" s="989"/>
      <c r="I33" s="989"/>
      <c r="J33" s="989"/>
      <c r="K33" s="989"/>
      <c r="L33" s="992"/>
      <c r="M33" s="989"/>
      <c r="N33" s="989"/>
      <c r="O33" s="989"/>
      <c r="P33" s="1075"/>
      <c r="Q33" s="992"/>
      <c r="R33" s="989"/>
      <c r="S33" s="990">
        <f t="shared" si="7"/>
        <v>2</v>
      </c>
      <c r="T33" s="989"/>
      <c r="U33" s="992"/>
      <c r="V33" s="989"/>
      <c r="W33" s="992"/>
      <c r="X33" s="989"/>
      <c r="Y33" s="989"/>
      <c r="Z33" s="992"/>
      <c r="AA33" s="992"/>
      <c r="AB33" s="992"/>
      <c r="AC33" s="989"/>
      <c r="AD33" s="991"/>
      <c r="AE33" s="988"/>
      <c r="AF33" s="989"/>
      <c r="AG33" s="989"/>
      <c r="AH33" s="989"/>
      <c r="AI33" s="989"/>
      <c r="AJ33" s="991"/>
    </row>
    <row r="34" spans="1:37" outlineLevel="1">
      <c r="A34" s="995" t="s">
        <v>564</v>
      </c>
      <c r="C34" s="984">
        <v>2</v>
      </c>
      <c r="D34" s="994"/>
      <c r="E34" s="994"/>
      <c r="F34" s="1056"/>
      <c r="G34" s="988"/>
      <c r="H34" s="989"/>
      <c r="I34" s="989"/>
      <c r="J34" s="989"/>
      <c r="K34" s="989"/>
      <c r="L34" s="992"/>
      <c r="M34" s="989"/>
      <c r="N34" s="989"/>
      <c r="O34" s="989">
        <f>C34</f>
        <v>2</v>
      </c>
      <c r="P34" s="992"/>
      <c r="Q34" s="992"/>
      <c r="R34" s="989"/>
      <c r="S34" s="990"/>
      <c r="T34" s="989"/>
      <c r="U34" s="992"/>
      <c r="V34" s="989"/>
      <c r="W34" s="992"/>
      <c r="X34" s="989"/>
      <c r="Y34" s="989"/>
      <c r="Z34" s="992"/>
      <c r="AA34" s="992"/>
      <c r="AB34" s="992"/>
      <c r="AC34" s="989"/>
      <c r="AD34" s="991"/>
      <c r="AE34" s="988"/>
      <c r="AF34" s="989"/>
      <c r="AG34" s="989"/>
      <c r="AH34" s="989"/>
      <c r="AI34" s="989"/>
      <c r="AJ34" s="991"/>
    </row>
    <row r="35" spans="1:37" outlineLevel="1">
      <c r="A35" s="995" t="s">
        <v>565</v>
      </c>
      <c r="C35" s="984">
        <v>2</v>
      </c>
      <c r="D35" s="994"/>
      <c r="E35" s="994"/>
      <c r="F35" s="1056"/>
      <c r="G35" s="988"/>
      <c r="H35" s="989"/>
      <c r="I35" s="989"/>
      <c r="J35" s="989"/>
      <c r="K35" s="989"/>
      <c r="L35" s="992"/>
      <c r="M35" s="989"/>
      <c r="N35" s="989"/>
      <c r="O35" s="989">
        <f t="shared" ref="O35:O37" si="8">C35</f>
        <v>2</v>
      </c>
      <c r="P35" s="992"/>
      <c r="Q35" s="992"/>
      <c r="R35" s="989"/>
      <c r="S35" s="990"/>
      <c r="T35" s="989"/>
      <c r="U35" s="992"/>
      <c r="V35" s="989"/>
      <c r="W35" s="992"/>
      <c r="X35" s="989"/>
      <c r="Y35" s="989"/>
      <c r="Z35" s="992"/>
      <c r="AA35" s="992"/>
      <c r="AB35" s="992"/>
      <c r="AC35" s="989"/>
      <c r="AD35" s="991"/>
      <c r="AE35" s="988"/>
      <c r="AF35" s="989"/>
      <c r="AG35" s="989"/>
      <c r="AH35" s="989"/>
      <c r="AI35" s="989"/>
      <c r="AJ35" s="991"/>
    </row>
    <row r="36" spans="1:37" outlineLevel="1">
      <c r="A36" s="995" t="s">
        <v>566</v>
      </c>
      <c r="C36" s="984">
        <v>2</v>
      </c>
      <c r="D36" s="994"/>
      <c r="E36" s="994"/>
      <c r="F36" s="1056"/>
      <c r="G36" s="988"/>
      <c r="H36" s="989"/>
      <c r="I36" s="989"/>
      <c r="J36" s="989"/>
      <c r="K36" s="989"/>
      <c r="L36" s="992"/>
      <c r="M36" s="989"/>
      <c r="N36" s="989"/>
      <c r="O36" s="989">
        <f t="shared" si="8"/>
        <v>2</v>
      </c>
      <c r="P36" s="992"/>
      <c r="Q36" s="992"/>
      <c r="R36" s="989"/>
      <c r="S36" s="990"/>
      <c r="T36" s="989"/>
      <c r="U36" s="992"/>
      <c r="V36" s="989"/>
      <c r="W36" s="992"/>
      <c r="X36" s="989"/>
      <c r="Y36" s="989"/>
      <c r="Z36" s="992"/>
      <c r="AA36" s="992"/>
      <c r="AB36" s="992"/>
      <c r="AC36" s="989"/>
      <c r="AD36" s="991"/>
      <c r="AE36" s="988"/>
      <c r="AF36" s="989"/>
      <c r="AG36" s="989"/>
      <c r="AH36" s="989"/>
      <c r="AI36" s="989"/>
      <c r="AJ36" s="991"/>
    </row>
    <row r="37" spans="1:37" outlineLevel="1">
      <c r="A37" s="995" t="s">
        <v>567</v>
      </c>
      <c r="C37" s="984">
        <v>2</v>
      </c>
      <c r="D37" s="994"/>
      <c r="E37" s="994"/>
      <c r="F37" s="1056"/>
      <c r="G37" s="988"/>
      <c r="H37" s="989"/>
      <c r="I37" s="989"/>
      <c r="J37" s="989"/>
      <c r="K37" s="989"/>
      <c r="L37" s="992"/>
      <c r="M37" s="989"/>
      <c r="N37" s="989"/>
      <c r="O37" s="989">
        <f t="shared" si="8"/>
        <v>2</v>
      </c>
      <c r="P37" s="992"/>
      <c r="Q37" s="992"/>
      <c r="R37" s="989"/>
      <c r="S37" s="990"/>
      <c r="T37" s="989"/>
      <c r="U37" s="992"/>
      <c r="V37" s="989"/>
      <c r="W37" s="992"/>
      <c r="X37" s="989"/>
      <c r="Y37" s="989"/>
      <c r="Z37" s="992"/>
      <c r="AA37" s="992"/>
      <c r="AB37" s="992"/>
      <c r="AC37" s="989"/>
      <c r="AD37" s="991"/>
      <c r="AE37" s="988"/>
      <c r="AF37" s="989"/>
      <c r="AG37" s="989"/>
      <c r="AH37" s="989"/>
      <c r="AI37" s="989"/>
      <c r="AJ37" s="991"/>
    </row>
    <row r="38" spans="1:37" outlineLevel="1">
      <c r="A38" s="993" t="s">
        <v>568</v>
      </c>
      <c r="C38" s="984">
        <v>2</v>
      </c>
      <c r="D38" s="994"/>
      <c r="E38" s="994"/>
      <c r="F38" s="1056"/>
      <c r="G38" s="988"/>
      <c r="H38" s="989"/>
      <c r="I38" s="989"/>
      <c r="J38" s="989">
        <f t="shared" ref="J38:J42" si="9">C38</f>
        <v>2</v>
      </c>
      <c r="K38" s="989"/>
      <c r="L38" s="992"/>
      <c r="M38" s="989"/>
      <c r="N38" s="989"/>
      <c r="O38" s="989"/>
      <c r="P38" s="992"/>
      <c r="Q38" s="992"/>
      <c r="R38" s="989"/>
      <c r="S38" s="990"/>
      <c r="T38" s="989"/>
      <c r="U38" s="992"/>
      <c r="V38" s="989"/>
      <c r="W38" s="992"/>
      <c r="X38" s="989"/>
      <c r="Y38" s="989"/>
      <c r="Z38" s="992"/>
      <c r="AA38" s="992"/>
      <c r="AB38" s="992"/>
      <c r="AC38" s="989"/>
      <c r="AD38" s="991"/>
      <c r="AE38" s="988"/>
      <c r="AF38" s="989"/>
      <c r="AG38" s="989"/>
      <c r="AH38" s="989"/>
      <c r="AI38" s="989"/>
      <c r="AJ38" s="991"/>
    </row>
    <row r="39" spans="1:37" outlineLevel="1">
      <c r="A39" s="993" t="s">
        <v>569</v>
      </c>
      <c r="C39" s="984">
        <v>2</v>
      </c>
      <c r="D39" s="994"/>
      <c r="E39" s="994"/>
      <c r="F39" s="1056"/>
      <c r="G39" s="988"/>
      <c r="H39" s="989"/>
      <c r="I39" s="989"/>
      <c r="J39" s="989">
        <f t="shared" si="9"/>
        <v>2</v>
      </c>
      <c r="K39" s="989"/>
      <c r="L39" s="992"/>
      <c r="M39" s="989"/>
      <c r="N39" s="989"/>
      <c r="O39" s="989"/>
      <c r="P39" s="992"/>
      <c r="Q39" s="992"/>
      <c r="R39" s="989"/>
      <c r="S39" s="989"/>
      <c r="T39" s="1074"/>
      <c r="U39" s="992"/>
      <c r="V39" s="989"/>
      <c r="W39" s="992"/>
      <c r="X39" s="989"/>
      <c r="Y39" s="989"/>
      <c r="Z39" s="992"/>
      <c r="AA39" s="992"/>
      <c r="AB39" s="992"/>
      <c r="AC39" s="989"/>
      <c r="AD39" s="991"/>
      <c r="AE39" s="988"/>
      <c r="AF39" s="989"/>
      <c r="AG39" s="989"/>
      <c r="AH39" s="989"/>
      <c r="AI39" s="989"/>
      <c r="AJ39" s="991"/>
    </row>
    <row r="40" spans="1:37" outlineLevel="1">
      <c r="A40" s="993" t="s">
        <v>570</v>
      </c>
      <c r="C40" s="984">
        <v>2</v>
      </c>
      <c r="D40" s="994"/>
      <c r="E40" s="994"/>
      <c r="F40" s="1056"/>
      <c r="G40" s="988"/>
      <c r="H40" s="989"/>
      <c r="I40" s="989"/>
      <c r="J40" s="989">
        <f t="shared" si="9"/>
        <v>2</v>
      </c>
      <c r="K40" s="989"/>
      <c r="L40" s="992"/>
      <c r="M40" s="989"/>
      <c r="N40" s="989"/>
      <c r="O40" s="989"/>
      <c r="P40" s="992"/>
      <c r="Q40" s="992"/>
      <c r="R40" s="989"/>
      <c r="S40" s="990"/>
      <c r="T40" s="989"/>
      <c r="U40" s="992"/>
      <c r="V40" s="989"/>
      <c r="W40" s="992"/>
      <c r="X40" s="989"/>
      <c r="Y40" s="989"/>
      <c r="Z40" s="992"/>
      <c r="AA40" s="992"/>
      <c r="AB40" s="992"/>
      <c r="AC40" s="989"/>
      <c r="AD40" s="991"/>
      <c r="AE40" s="988"/>
      <c r="AF40" s="989"/>
      <c r="AG40" s="989"/>
      <c r="AH40" s="989"/>
      <c r="AI40" s="989"/>
      <c r="AJ40" s="991"/>
    </row>
    <row r="41" spans="1:37" outlineLevel="1">
      <c r="A41" s="993" t="s">
        <v>571</v>
      </c>
      <c r="C41" s="984">
        <v>2</v>
      </c>
      <c r="D41" s="994"/>
      <c r="E41" s="994"/>
      <c r="F41" s="1056"/>
      <c r="G41" s="988"/>
      <c r="H41" s="989"/>
      <c r="I41" s="989"/>
      <c r="J41" s="989">
        <f t="shared" si="9"/>
        <v>2</v>
      </c>
      <c r="K41" s="989"/>
      <c r="L41" s="992"/>
      <c r="M41" s="989"/>
      <c r="N41" s="989"/>
      <c r="O41" s="989"/>
      <c r="P41" s="992"/>
      <c r="Q41" s="992"/>
      <c r="R41" s="989"/>
      <c r="S41" s="990"/>
      <c r="T41" s="989"/>
      <c r="U41" s="992"/>
      <c r="V41" s="989"/>
      <c r="W41" s="992"/>
      <c r="X41" s="989"/>
      <c r="Y41" s="989"/>
      <c r="Z41" s="992"/>
      <c r="AA41" s="992"/>
      <c r="AB41" s="992"/>
      <c r="AC41" s="989"/>
      <c r="AD41" s="991"/>
      <c r="AE41" s="988"/>
      <c r="AF41" s="989"/>
      <c r="AG41" s="989"/>
      <c r="AH41" s="989"/>
      <c r="AI41" s="989"/>
      <c r="AJ41" s="991"/>
    </row>
    <row r="42" spans="1:37" outlineLevel="1">
      <c r="A42" s="993" t="s">
        <v>572</v>
      </c>
      <c r="C42" s="984">
        <v>2</v>
      </c>
      <c r="D42" s="994"/>
      <c r="E42" s="994"/>
      <c r="F42" s="1056"/>
      <c r="G42" s="988"/>
      <c r="H42" s="989"/>
      <c r="I42" s="989"/>
      <c r="J42" s="989">
        <f t="shared" si="9"/>
        <v>2</v>
      </c>
      <c r="K42" s="989"/>
      <c r="L42" s="992"/>
      <c r="M42" s="989"/>
      <c r="N42" s="989"/>
      <c r="O42" s="989"/>
      <c r="P42" s="992"/>
      <c r="Q42" s="992"/>
      <c r="R42" s="989"/>
      <c r="S42" s="990"/>
      <c r="T42" s="989"/>
      <c r="U42" s="992"/>
      <c r="V42" s="989"/>
      <c r="W42" s="992"/>
      <c r="X42" s="989"/>
      <c r="Y42" s="989"/>
      <c r="Z42" s="992"/>
      <c r="AA42" s="992"/>
      <c r="AB42" s="992"/>
      <c r="AC42" s="989"/>
      <c r="AD42" s="991"/>
      <c r="AE42" s="988"/>
      <c r="AF42" s="989"/>
      <c r="AG42" s="989"/>
      <c r="AH42" s="989"/>
      <c r="AI42" s="989"/>
      <c r="AJ42" s="991"/>
    </row>
    <row r="43" spans="1:37" outlineLevel="1">
      <c r="A43" s="998" t="s">
        <v>453</v>
      </c>
      <c r="C43" s="938">
        <v>1</v>
      </c>
      <c r="D43" s="987"/>
      <c r="E43" s="994"/>
      <c r="F43" s="1056"/>
      <c r="G43" s="988"/>
      <c r="H43" s="989"/>
      <c r="I43" s="989"/>
      <c r="J43" s="989"/>
      <c r="K43" s="989"/>
      <c r="L43" s="992"/>
      <c r="M43" s="989"/>
      <c r="N43" s="989"/>
      <c r="O43" s="989"/>
      <c r="P43" s="992"/>
      <c r="Q43" s="992"/>
      <c r="R43" s="989"/>
      <c r="S43" s="990"/>
      <c r="T43" s="989"/>
      <c r="U43" s="992"/>
      <c r="V43" s="989"/>
      <c r="W43" s="992"/>
      <c r="X43" s="989"/>
      <c r="Y43" s="989"/>
      <c r="Z43" s="992"/>
      <c r="AA43" s="992"/>
      <c r="AB43" s="992"/>
      <c r="AC43" s="989"/>
      <c r="AD43" s="991"/>
      <c r="AE43" s="988"/>
      <c r="AF43" s="989"/>
      <c r="AG43" s="989"/>
      <c r="AH43" s="989"/>
      <c r="AI43" s="989"/>
      <c r="AJ43" s="991"/>
    </row>
    <row r="44" spans="1:37" ht="15">
      <c r="A44" s="976" t="s">
        <v>454</v>
      </c>
      <c r="B44" s="968" t="s">
        <v>522</v>
      </c>
      <c r="D44" s="999">
        <f>'Devel. Bud'!D18</f>
        <v>2067515</v>
      </c>
      <c r="E44" s="999"/>
      <c r="F44" s="1056"/>
      <c r="G44" s="988"/>
      <c r="H44" s="989"/>
      <c r="I44" s="989"/>
      <c r="J44" s="989">
        <f>$D$44*10%</f>
        <v>206751.5</v>
      </c>
      <c r="K44" s="989"/>
      <c r="L44" s="992"/>
      <c r="M44" s="989">
        <f>$D$44*10%</f>
        <v>206751.5</v>
      </c>
      <c r="N44" s="989">
        <f>$D$44*10%</f>
        <v>206751.5</v>
      </c>
      <c r="O44" s="989"/>
      <c r="P44" s="992"/>
      <c r="Q44" s="989"/>
      <c r="R44" s="989">
        <f>$D$44*25%</f>
        <v>516878.75</v>
      </c>
      <c r="S44" s="990"/>
      <c r="T44" s="989">
        <f>$D$44*10%</f>
        <v>206751.5</v>
      </c>
      <c r="U44" s="992"/>
      <c r="V44" s="989"/>
      <c r="W44" s="992"/>
      <c r="X44" s="989"/>
      <c r="Y44" s="989"/>
      <c r="Z44" s="992"/>
      <c r="AA44" s="992"/>
      <c r="AB44" s="992"/>
      <c r="AC44" s="992">
        <f>$D$44*25%</f>
        <v>516878.75</v>
      </c>
      <c r="AD44" s="992">
        <f>$D$44*10%</f>
        <v>206751.5</v>
      </c>
      <c r="AE44" s="988"/>
      <c r="AF44" s="989"/>
      <c r="AG44" s="989"/>
      <c r="AH44" s="989"/>
      <c r="AI44" s="989"/>
      <c r="AJ44" s="991">
        <f t="shared" ref="AJ44" si="10">D44-SUM(F44:AI44)</f>
        <v>0</v>
      </c>
      <c r="AK44" s="983">
        <f>SUM(F44:AD44)-D44</f>
        <v>0</v>
      </c>
    </row>
    <row r="45" spans="1:37" ht="12" thickBot="1">
      <c r="A45" s="976" t="s">
        <v>455</v>
      </c>
      <c r="D45" s="1000">
        <f>SUM(D14:D44)</f>
        <v>22742658</v>
      </c>
      <c r="E45" s="1001"/>
      <c r="F45" s="1055"/>
      <c r="G45" s="1002"/>
      <c r="H45" s="1003"/>
      <c r="I45" s="1003"/>
      <c r="J45" s="1003"/>
      <c r="K45" s="1003"/>
      <c r="L45" s="1004"/>
      <c r="M45" s="1003"/>
      <c r="N45" s="1003"/>
      <c r="O45" s="1003"/>
      <c r="P45" s="1004"/>
      <c r="Q45" s="1004"/>
      <c r="R45" s="1003"/>
      <c r="S45" s="1005"/>
      <c r="T45" s="1003"/>
      <c r="U45" s="1004"/>
      <c r="V45" s="1003"/>
      <c r="W45" s="1004"/>
      <c r="X45" s="1003"/>
      <c r="Y45" s="1003"/>
      <c r="Z45" s="1004"/>
      <c r="AA45" s="1004"/>
      <c r="AB45" s="1004"/>
      <c r="AC45" s="1003"/>
      <c r="AD45" s="1006"/>
      <c r="AE45" s="1070"/>
      <c r="AF45" s="1071"/>
      <c r="AG45" s="1071"/>
      <c r="AH45" s="1071"/>
      <c r="AI45" s="1071"/>
      <c r="AJ45" s="1006"/>
      <c r="AK45" s="983"/>
    </row>
    <row r="46" spans="1:37" ht="15">
      <c r="A46" s="976"/>
      <c r="D46" s="999"/>
      <c r="E46" s="999"/>
      <c r="F46" s="1055"/>
      <c r="G46" s="1007"/>
      <c r="H46" s="1008"/>
      <c r="I46" s="1008"/>
      <c r="J46" s="1008"/>
      <c r="K46" s="1008"/>
      <c r="L46" s="1009"/>
      <c r="M46" s="1008"/>
      <c r="N46" s="1008"/>
      <c r="O46" s="1008"/>
      <c r="P46" s="980"/>
      <c r="Q46" s="980"/>
      <c r="R46" s="1008"/>
      <c r="S46" s="1009"/>
      <c r="T46" s="979"/>
      <c r="U46" s="980"/>
      <c r="V46" s="1008"/>
      <c r="W46" s="980"/>
      <c r="X46" s="979"/>
      <c r="Y46" s="979"/>
      <c r="Z46" s="980"/>
      <c r="AA46" s="980"/>
      <c r="AB46" s="979"/>
      <c r="AC46" s="979"/>
      <c r="AD46" s="991"/>
      <c r="AE46" s="988"/>
      <c r="AF46" s="989"/>
      <c r="AG46" s="989"/>
      <c r="AH46" s="989"/>
      <c r="AI46" s="989"/>
      <c r="AJ46" s="991"/>
      <c r="AK46" s="983"/>
    </row>
    <row r="47" spans="1:37" ht="15">
      <c r="A47" s="976" t="s">
        <v>84</v>
      </c>
      <c r="D47" s="1010"/>
      <c r="E47" s="1010"/>
      <c r="F47" s="1056"/>
      <c r="G47" s="978"/>
      <c r="H47" s="979"/>
      <c r="I47" s="979"/>
      <c r="J47" s="979"/>
      <c r="K47" s="979"/>
      <c r="L47" s="980"/>
      <c r="M47" s="979"/>
      <c r="N47" s="979"/>
      <c r="O47" s="979"/>
      <c r="P47" s="980"/>
      <c r="Q47" s="980"/>
      <c r="R47" s="979"/>
      <c r="S47" s="980"/>
      <c r="T47" s="979"/>
      <c r="U47" s="980"/>
      <c r="V47" s="979"/>
      <c r="W47" s="980"/>
      <c r="X47" s="979"/>
      <c r="Y47" s="979"/>
      <c r="Z47" s="980"/>
      <c r="AA47" s="980"/>
      <c r="AB47" s="979"/>
      <c r="AC47" s="979"/>
      <c r="AD47" s="991"/>
      <c r="AE47" s="988"/>
      <c r="AF47" s="989"/>
      <c r="AG47" s="989"/>
      <c r="AH47" s="989"/>
      <c r="AI47" s="989"/>
      <c r="AJ47" s="991"/>
      <c r="AK47" s="983"/>
    </row>
    <row r="48" spans="1:37">
      <c r="A48" s="998" t="s">
        <v>305</v>
      </c>
      <c r="B48" s="873" t="s">
        <v>522</v>
      </c>
      <c r="D48" s="1011">
        <f>'Devel. Bud'!D22</f>
        <v>300000</v>
      </c>
      <c r="E48" s="1012"/>
      <c r="F48" s="1056">
        <f>D48*85%</f>
        <v>255000</v>
      </c>
      <c r="G48" s="1013"/>
      <c r="H48" s="1014"/>
      <c r="I48" s="1014"/>
      <c r="J48" s="1014"/>
      <c r="K48" s="1014"/>
      <c r="L48" s="1015"/>
      <c r="M48" s="1014"/>
      <c r="N48" s="1014"/>
      <c r="O48" s="1014"/>
      <c r="P48" s="1015"/>
      <c r="Q48" s="1015"/>
      <c r="R48" s="1014"/>
      <c r="S48" s="1015"/>
      <c r="T48" s="1014"/>
      <c r="U48" s="1015"/>
      <c r="V48" s="1014"/>
      <c r="W48" s="1015"/>
      <c r="X48" s="1014"/>
      <c r="Y48" s="1014"/>
      <c r="Z48" s="1015"/>
      <c r="AA48" s="1015"/>
      <c r="AB48" s="1014"/>
      <c r="AC48" s="1014"/>
      <c r="AD48" s="991"/>
      <c r="AE48" s="988"/>
      <c r="AF48" s="989"/>
      <c r="AG48" s="989"/>
      <c r="AH48" s="989"/>
      <c r="AI48" s="989"/>
      <c r="AJ48" s="991">
        <f t="shared" ref="AJ48:AJ63" si="11">D48-SUM(F48:AI48)</f>
        <v>45000</v>
      </c>
      <c r="AK48" s="983">
        <f t="shared" ref="AK48:AK73" si="12">SUM(F48:AJ48)-D48</f>
        <v>0</v>
      </c>
    </row>
    <row r="49" spans="1:37">
      <c r="A49" s="998" t="s">
        <v>65</v>
      </c>
      <c r="B49" s="873" t="s">
        <v>522</v>
      </c>
      <c r="D49" s="1011">
        <f>'Devel. Bud'!D23</f>
        <v>1150000</v>
      </c>
      <c r="E49" s="1016"/>
      <c r="F49" s="1059">
        <f>D49*75%</f>
        <v>862500</v>
      </c>
      <c r="G49" s="1017">
        <f>($D$49-$F$49)/24</f>
        <v>11979.166666666666</v>
      </c>
      <c r="H49" s="1014">
        <f t="shared" ref="H49:J49" si="13">($D$49-$F$49)/24</f>
        <v>11979.166666666666</v>
      </c>
      <c r="I49" s="1014">
        <f t="shared" si="13"/>
        <v>11979.166666666666</v>
      </c>
      <c r="J49" s="1015">
        <f t="shared" si="13"/>
        <v>11979.166666666666</v>
      </c>
      <c r="K49" s="1014">
        <f t="shared" ref="K49:AC49" si="14">(166500+77000)/24</f>
        <v>10145.833333333334</v>
      </c>
      <c r="L49" s="1015">
        <f t="shared" si="14"/>
        <v>10145.833333333334</v>
      </c>
      <c r="M49" s="1014">
        <f t="shared" si="14"/>
        <v>10145.833333333334</v>
      </c>
      <c r="N49" s="1014">
        <f t="shared" si="14"/>
        <v>10145.833333333334</v>
      </c>
      <c r="O49" s="1014">
        <f t="shared" si="14"/>
        <v>10145.833333333334</v>
      </c>
      <c r="P49" s="1015">
        <f t="shared" si="14"/>
        <v>10145.833333333334</v>
      </c>
      <c r="Q49" s="1015">
        <f t="shared" si="14"/>
        <v>10145.833333333334</v>
      </c>
      <c r="R49" s="1014">
        <f t="shared" si="14"/>
        <v>10145.833333333334</v>
      </c>
      <c r="S49" s="1015">
        <f t="shared" si="14"/>
        <v>10145.833333333334</v>
      </c>
      <c r="T49" s="1014">
        <f t="shared" si="14"/>
        <v>10145.833333333334</v>
      </c>
      <c r="U49" s="1015">
        <f t="shared" si="14"/>
        <v>10145.833333333334</v>
      </c>
      <c r="V49" s="1014">
        <f t="shared" si="14"/>
        <v>10145.833333333334</v>
      </c>
      <c r="W49" s="1015">
        <f t="shared" si="14"/>
        <v>10145.833333333334</v>
      </c>
      <c r="X49" s="1014">
        <f t="shared" si="14"/>
        <v>10145.833333333334</v>
      </c>
      <c r="Y49" s="1014">
        <f t="shared" si="14"/>
        <v>10145.833333333334</v>
      </c>
      <c r="Z49" s="1015">
        <f t="shared" si="14"/>
        <v>10145.833333333334</v>
      </c>
      <c r="AA49" s="1015">
        <f t="shared" si="14"/>
        <v>10145.833333333334</v>
      </c>
      <c r="AB49" s="1014">
        <f t="shared" si="14"/>
        <v>10145.833333333334</v>
      </c>
      <c r="AC49" s="1014">
        <f t="shared" si="14"/>
        <v>10145.833333333334</v>
      </c>
      <c r="AD49" s="991">
        <f t="shared" ref="AD49:AD102" si="15">D49-SUM(F49:AC49)</f>
        <v>46812.5</v>
      </c>
      <c r="AE49" s="988"/>
      <c r="AF49" s="989"/>
      <c r="AG49" s="989"/>
      <c r="AH49" s="989"/>
      <c r="AI49" s="989"/>
      <c r="AJ49" s="991">
        <f t="shared" si="11"/>
        <v>0</v>
      </c>
      <c r="AK49" s="983">
        <f t="shared" si="12"/>
        <v>0</v>
      </c>
    </row>
    <row r="50" spans="1:37">
      <c r="A50" s="998" t="s">
        <v>308</v>
      </c>
      <c r="B50" s="873" t="s">
        <v>522</v>
      </c>
      <c r="D50" s="1011">
        <f>'Devel. Bud'!D24</f>
        <v>100000</v>
      </c>
      <c r="E50" s="1012"/>
      <c r="F50" s="1056">
        <f>D50</f>
        <v>100000</v>
      </c>
      <c r="G50" s="1013"/>
      <c r="H50" s="1014"/>
      <c r="I50" s="1014"/>
      <c r="J50" s="1014"/>
      <c r="K50" s="1014"/>
      <c r="L50" s="1015"/>
      <c r="M50" s="1014"/>
      <c r="N50" s="1014"/>
      <c r="O50" s="1014"/>
      <c r="P50" s="1015"/>
      <c r="Q50" s="1015"/>
      <c r="R50" s="1014"/>
      <c r="S50" s="1015"/>
      <c r="T50" s="1014"/>
      <c r="U50" s="1015"/>
      <c r="V50" s="1014"/>
      <c r="W50" s="1015"/>
      <c r="X50" s="1014"/>
      <c r="Y50" s="1014"/>
      <c r="Z50" s="1015"/>
      <c r="AA50" s="1015"/>
      <c r="AB50" s="1014"/>
      <c r="AC50" s="1014"/>
      <c r="AD50" s="991"/>
      <c r="AE50" s="988"/>
      <c r="AF50" s="989"/>
      <c r="AG50" s="989"/>
      <c r="AH50" s="989"/>
      <c r="AI50" s="989"/>
      <c r="AJ50" s="991">
        <f t="shared" si="11"/>
        <v>0</v>
      </c>
      <c r="AK50" s="983">
        <f t="shared" si="12"/>
        <v>0</v>
      </c>
    </row>
    <row r="51" spans="1:37">
      <c r="A51" s="998" t="s">
        <v>209</v>
      </c>
      <c r="B51" s="873" t="s">
        <v>522</v>
      </c>
      <c r="D51" s="1011">
        <f>'Devel. Bud'!D25</f>
        <v>60000</v>
      </c>
      <c r="E51" s="1012"/>
      <c r="F51" s="1056">
        <f>D51*80%</f>
        <v>48000</v>
      </c>
      <c r="G51" s="1013"/>
      <c r="H51" s="1014"/>
      <c r="I51" s="1014"/>
      <c r="J51" s="1014"/>
      <c r="K51" s="1014"/>
      <c r="L51" s="1015"/>
      <c r="M51" s="1014"/>
      <c r="N51" s="1014"/>
      <c r="O51" s="1014"/>
      <c r="P51" s="1015"/>
      <c r="Q51" s="1015"/>
      <c r="R51" s="1014">
        <f>(D51-F51)*50%</f>
        <v>6000</v>
      </c>
      <c r="S51" s="1015"/>
      <c r="T51" s="1014"/>
      <c r="U51" s="1015"/>
      <c r="V51" s="1014"/>
      <c r="W51" s="1015"/>
      <c r="X51" s="1014"/>
      <c r="Y51" s="1014"/>
      <c r="Z51" s="1015"/>
      <c r="AA51" s="1015"/>
      <c r="AB51" s="1014"/>
      <c r="AC51" s="1014"/>
      <c r="AD51" s="991"/>
      <c r="AE51" s="988"/>
      <c r="AF51" s="989"/>
      <c r="AG51" s="989"/>
      <c r="AH51" s="989"/>
      <c r="AI51" s="989"/>
      <c r="AJ51" s="991">
        <f t="shared" si="11"/>
        <v>6000</v>
      </c>
      <c r="AK51" s="983">
        <f t="shared" si="12"/>
        <v>0</v>
      </c>
    </row>
    <row r="52" spans="1:37">
      <c r="A52" s="998" t="s">
        <v>120</v>
      </c>
      <c r="B52" s="873" t="s">
        <v>522</v>
      </c>
      <c r="D52" s="1011">
        <f>'Devel. Bud'!D26</f>
        <v>100000</v>
      </c>
      <c r="E52" s="1012"/>
      <c r="F52" s="1056">
        <f>D52*80%</f>
        <v>80000</v>
      </c>
      <c r="G52" s="1013"/>
      <c r="H52" s="1014"/>
      <c r="I52" s="1014"/>
      <c r="J52" s="1014"/>
      <c r="K52" s="1014"/>
      <c r="L52" s="1015"/>
      <c r="M52" s="1014"/>
      <c r="N52" s="1014"/>
      <c r="O52" s="1014"/>
      <c r="P52" s="1015"/>
      <c r="Q52" s="1015"/>
      <c r="R52" s="1014">
        <f>(D52-F52)*50%</f>
        <v>10000</v>
      </c>
      <c r="S52" s="1015"/>
      <c r="T52" s="1014"/>
      <c r="U52" s="1015"/>
      <c r="V52" s="1014"/>
      <c r="W52" s="1015"/>
      <c r="X52" s="1014"/>
      <c r="Y52" s="1014"/>
      <c r="Z52" s="1015"/>
      <c r="AA52" s="1015"/>
      <c r="AB52" s="1014"/>
      <c r="AC52" s="1014"/>
      <c r="AD52" s="991"/>
      <c r="AE52" s="988"/>
      <c r="AF52" s="989"/>
      <c r="AG52" s="989"/>
      <c r="AH52" s="989"/>
      <c r="AI52" s="989"/>
      <c r="AJ52" s="991">
        <f t="shared" si="11"/>
        <v>10000</v>
      </c>
      <c r="AK52" s="983">
        <f t="shared" si="12"/>
        <v>0</v>
      </c>
    </row>
    <row r="53" spans="1:37">
      <c r="A53" s="998" t="s">
        <v>85</v>
      </c>
      <c r="B53" s="873" t="s">
        <v>522</v>
      </c>
      <c r="D53" s="1011">
        <f>'Devel. Bud'!D27</f>
        <v>75000</v>
      </c>
      <c r="E53" s="1012"/>
      <c r="F53" s="1056">
        <f>D53*90%</f>
        <v>67500</v>
      </c>
      <c r="G53" s="1013">
        <f>D53-F53</f>
        <v>7500</v>
      </c>
      <c r="H53" s="1014"/>
      <c r="I53" s="1014"/>
      <c r="J53" s="1014"/>
      <c r="K53" s="1014"/>
      <c r="L53" s="1015"/>
      <c r="M53" s="1014"/>
      <c r="N53" s="1014"/>
      <c r="O53" s="1014"/>
      <c r="P53" s="1015"/>
      <c r="Q53" s="1015"/>
      <c r="R53" s="1014"/>
      <c r="S53" s="1015"/>
      <c r="T53" s="1014"/>
      <c r="U53" s="1015"/>
      <c r="V53" s="1014"/>
      <c r="W53" s="1015"/>
      <c r="X53" s="1014"/>
      <c r="Y53" s="1014"/>
      <c r="Z53" s="1015"/>
      <c r="AA53" s="1015"/>
      <c r="AB53" s="1014"/>
      <c r="AC53" s="1014"/>
      <c r="AD53" s="991"/>
      <c r="AE53" s="988"/>
      <c r="AF53" s="989"/>
      <c r="AG53" s="989"/>
      <c r="AH53" s="989"/>
      <c r="AI53" s="989"/>
      <c r="AJ53" s="991">
        <f t="shared" si="11"/>
        <v>0</v>
      </c>
      <c r="AK53" s="983">
        <f t="shared" si="12"/>
        <v>0</v>
      </c>
    </row>
    <row r="54" spans="1:37">
      <c r="A54" s="998" t="s">
        <v>210</v>
      </c>
      <c r="B54" s="873" t="s">
        <v>522</v>
      </c>
      <c r="D54" s="1011">
        <f>'Devel. Bud'!D28</f>
        <v>75000</v>
      </c>
      <c r="E54" s="1012"/>
      <c r="F54" s="1056">
        <f>D54*80%</f>
        <v>60000</v>
      </c>
      <c r="G54" s="1013">
        <f>D54-F54</f>
        <v>15000</v>
      </c>
      <c r="H54" s="1014"/>
      <c r="I54" s="1014"/>
      <c r="J54" s="1014"/>
      <c r="K54" s="1014"/>
      <c r="L54" s="1015"/>
      <c r="M54" s="1014"/>
      <c r="N54" s="1014"/>
      <c r="O54" s="1014"/>
      <c r="P54" s="1015"/>
      <c r="Q54" s="1015"/>
      <c r="R54" s="1014"/>
      <c r="S54" s="1015"/>
      <c r="T54" s="1014"/>
      <c r="U54" s="1015"/>
      <c r="V54" s="1014"/>
      <c r="W54" s="1015"/>
      <c r="X54" s="1014"/>
      <c r="Y54" s="1014"/>
      <c r="Z54" s="1015"/>
      <c r="AA54" s="1015"/>
      <c r="AB54" s="1014"/>
      <c r="AC54" s="1014"/>
      <c r="AD54" s="991"/>
      <c r="AE54" s="988"/>
      <c r="AF54" s="989"/>
      <c r="AG54" s="989"/>
      <c r="AH54" s="989"/>
      <c r="AI54" s="989"/>
      <c r="AJ54" s="991">
        <f t="shared" si="11"/>
        <v>0</v>
      </c>
      <c r="AK54" s="983">
        <f t="shared" si="12"/>
        <v>0</v>
      </c>
    </row>
    <row r="55" spans="1:37">
      <c r="A55" s="998" t="s">
        <v>86</v>
      </c>
      <c r="B55" s="873" t="s">
        <v>522</v>
      </c>
      <c r="D55" s="1011">
        <f>'Devel. Bud'!D29</f>
        <v>47500</v>
      </c>
      <c r="E55" s="1012"/>
      <c r="F55" s="1056">
        <f>D55*90%</f>
        <v>42750</v>
      </c>
      <c r="G55" s="1013"/>
      <c r="H55" s="1014"/>
      <c r="I55" s="1014"/>
      <c r="J55" s="1014"/>
      <c r="K55" s="1014"/>
      <c r="L55" s="1015"/>
      <c r="M55" s="1014"/>
      <c r="N55" s="1014"/>
      <c r="O55" s="1014"/>
      <c r="P55" s="1015"/>
      <c r="Q55" s="1015"/>
      <c r="R55" s="1014"/>
      <c r="S55" s="1015"/>
      <c r="T55" s="1014"/>
      <c r="U55" s="1015"/>
      <c r="V55" s="1014"/>
      <c r="W55" s="1015"/>
      <c r="X55" s="1014"/>
      <c r="Y55" s="1014"/>
      <c r="Z55" s="1015"/>
      <c r="AA55" s="1015"/>
      <c r="AB55" s="1014"/>
      <c r="AC55" s="1014"/>
      <c r="AD55" s="991"/>
      <c r="AE55" s="988"/>
      <c r="AF55" s="989"/>
      <c r="AG55" s="989"/>
      <c r="AH55" s="989"/>
      <c r="AI55" s="989"/>
      <c r="AJ55" s="991">
        <f t="shared" si="11"/>
        <v>4750</v>
      </c>
      <c r="AK55" s="983">
        <f t="shared" si="12"/>
        <v>0</v>
      </c>
    </row>
    <row r="56" spans="1:37">
      <c r="A56" s="998" t="s">
        <v>334</v>
      </c>
      <c r="B56" s="873" t="s">
        <v>522</v>
      </c>
      <c r="D56" s="1011">
        <f>'Devel. Bud'!D30</f>
        <v>7500</v>
      </c>
      <c r="E56" s="1012"/>
      <c r="F56" s="1056">
        <f>D56</f>
        <v>7500</v>
      </c>
      <c r="G56" s="1013"/>
      <c r="H56" s="1014"/>
      <c r="I56" s="1014"/>
      <c r="J56" s="1014"/>
      <c r="K56" s="1014"/>
      <c r="L56" s="1015"/>
      <c r="M56" s="1014"/>
      <c r="N56" s="1014"/>
      <c r="O56" s="1014"/>
      <c r="P56" s="1015"/>
      <c r="Q56" s="1015"/>
      <c r="R56" s="1014"/>
      <c r="S56" s="1015"/>
      <c r="T56" s="1014"/>
      <c r="U56" s="1015"/>
      <c r="V56" s="1014"/>
      <c r="W56" s="1015"/>
      <c r="X56" s="1014"/>
      <c r="Y56" s="1014"/>
      <c r="Z56" s="1015"/>
      <c r="AA56" s="1015"/>
      <c r="AB56" s="1014"/>
      <c r="AC56" s="1014"/>
      <c r="AD56" s="991"/>
      <c r="AE56" s="988"/>
      <c r="AF56" s="989"/>
      <c r="AG56" s="989"/>
      <c r="AH56" s="989"/>
      <c r="AI56" s="989"/>
      <c r="AJ56" s="991">
        <f t="shared" si="11"/>
        <v>0</v>
      </c>
      <c r="AK56" s="983">
        <f t="shared" si="12"/>
        <v>0</v>
      </c>
    </row>
    <row r="57" spans="1:37">
      <c r="A57" s="998" t="s">
        <v>81</v>
      </c>
      <c r="B57" s="873" t="s">
        <v>522</v>
      </c>
      <c r="D57" s="1011">
        <f>'Devel. Bud'!D31</f>
        <v>10000</v>
      </c>
      <c r="E57" s="1012"/>
      <c r="F57" s="1056">
        <f>D57*90%</f>
        <v>9000</v>
      </c>
      <c r="G57" s="1013"/>
      <c r="H57" s="1014"/>
      <c r="I57" s="1014"/>
      <c r="J57" s="1014"/>
      <c r="K57" s="1014"/>
      <c r="L57" s="1015"/>
      <c r="M57" s="1014"/>
      <c r="N57" s="1014"/>
      <c r="O57" s="1014"/>
      <c r="P57" s="1015"/>
      <c r="Q57" s="1015"/>
      <c r="R57" s="1014"/>
      <c r="S57" s="1015"/>
      <c r="T57" s="1014"/>
      <c r="U57" s="1015"/>
      <c r="V57" s="1014"/>
      <c r="W57" s="1015"/>
      <c r="X57" s="1014"/>
      <c r="Y57" s="1014"/>
      <c r="Z57" s="1015"/>
      <c r="AA57" s="1015"/>
      <c r="AB57" s="1014"/>
      <c r="AC57" s="1014"/>
      <c r="AD57" s="991"/>
      <c r="AE57" s="988"/>
      <c r="AF57" s="989"/>
      <c r="AG57" s="989"/>
      <c r="AH57" s="989"/>
      <c r="AI57" s="989"/>
      <c r="AJ57" s="991">
        <f t="shared" si="11"/>
        <v>1000</v>
      </c>
      <c r="AK57" s="983">
        <f t="shared" si="12"/>
        <v>0</v>
      </c>
    </row>
    <row r="58" spans="1:37">
      <c r="A58" s="998" t="s">
        <v>518</v>
      </c>
      <c r="B58" s="873" t="s">
        <v>522</v>
      </c>
      <c r="D58" s="1011">
        <f ca="1">'Devel. Bud'!D32</f>
        <v>218000</v>
      </c>
      <c r="E58" s="1012"/>
      <c r="F58" s="1056">
        <f ca="1">D58*64%</f>
        <v>139520</v>
      </c>
      <c r="G58" s="1013"/>
      <c r="H58" s="1014"/>
      <c r="I58" s="1014"/>
      <c r="J58" s="1014"/>
      <c r="K58" s="1014"/>
      <c r="L58" s="1015"/>
      <c r="M58" s="1014"/>
      <c r="N58" s="1014"/>
      <c r="O58" s="1014"/>
      <c r="P58" s="1015"/>
      <c r="Q58" s="1015"/>
      <c r="R58" s="1014"/>
      <c r="S58" s="1015"/>
      <c r="T58" s="1014"/>
      <c r="U58" s="1015"/>
      <c r="V58" s="1014"/>
      <c r="W58" s="1015"/>
      <c r="X58" s="1014"/>
      <c r="Y58" s="1014"/>
      <c r="Z58" s="1015"/>
      <c r="AA58" s="1015"/>
      <c r="AB58" s="1014"/>
      <c r="AC58" s="1014"/>
      <c r="AD58" s="991"/>
      <c r="AE58" s="988"/>
      <c r="AF58" s="989"/>
      <c r="AG58" s="989"/>
      <c r="AH58" s="989"/>
      <c r="AI58" s="989"/>
      <c r="AJ58" s="991">
        <f t="shared" ca="1" si="11"/>
        <v>78480</v>
      </c>
      <c r="AK58" s="983">
        <f t="shared" ca="1" si="12"/>
        <v>0</v>
      </c>
    </row>
    <row r="59" spans="1:37">
      <c r="A59" s="998" t="s">
        <v>284</v>
      </c>
      <c r="B59" s="873" t="s">
        <v>281</v>
      </c>
      <c r="D59" s="1011">
        <f>'Devel. Bud'!D33</f>
        <v>10000</v>
      </c>
      <c r="E59" s="1012"/>
      <c r="F59" s="1056">
        <f>D59</f>
        <v>10000</v>
      </c>
      <c r="G59" s="1013"/>
      <c r="H59" s="1014"/>
      <c r="I59" s="1014"/>
      <c r="J59" s="1014"/>
      <c r="K59" s="1014"/>
      <c r="L59" s="1015"/>
      <c r="M59" s="1014"/>
      <c r="N59" s="1014"/>
      <c r="O59" s="1014"/>
      <c r="P59" s="1015"/>
      <c r="Q59" s="1015"/>
      <c r="R59" s="1014"/>
      <c r="S59" s="1015"/>
      <c r="T59" s="1014"/>
      <c r="U59" s="1015"/>
      <c r="V59" s="1014"/>
      <c r="W59" s="1015"/>
      <c r="X59" s="1014"/>
      <c r="Y59" s="1014"/>
      <c r="Z59" s="1015"/>
      <c r="AA59" s="1015"/>
      <c r="AB59" s="1014"/>
      <c r="AC59" s="1014"/>
      <c r="AD59" s="991"/>
      <c r="AE59" s="988"/>
      <c r="AF59" s="989"/>
      <c r="AG59" s="989"/>
      <c r="AH59" s="989"/>
      <c r="AI59" s="989"/>
      <c r="AJ59" s="991">
        <f t="shared" si="11"/>
        <v>0</v>
      </c>
      <c r="AK59" s="983">
        <f t="shared" si="12"/>
        <v>0</v>
      </c>
    </row>
    <row r="60" spans="1:37">
      <c r="A60" s="998" t="s">
        <v>22</v>
      </c>
      <c r="B60" s="873" t="s">
        <v>522</v>
      </c>
      <c r="D60" s="1011">
        <f>'Devel. Bud'!D34</f>
        <v>75000</v>
      </c>
      <c r="E60" s="1012"/>
      <c r="F60" s="1060"/>
      <c r="G60" s="1018">
        <f t="shared" ref="G60:AC60" si="16">SUM($D$60-$F$60)/24</f>
        <v>3125</v>
      </c>
      <c r="H60" s="1019">
        <f t="shared" si="16"/>
        <v>3125</v>
      </c>
      <c r="I60" s="1019">
        <f t="shared" si="16"/>
        <v>3125</v>
      </c>
      <c r="J60" s="1019">
        <f t="shared" si="16"/>
        <v>3125</v>
      </c>
      <c r="K60" s="1019">
        <f t="shared" si="16"/>
        <v>3125</v>
      </c>
      <c r="L60" s="1021">
        <f t="shared" si="16"/>
        <v>3125</v>
      </c>
      <c r="M60" s="1019">
        <f t="shared" si="16"/>
        <v>3125</v>
      </c>
      <c r="N60" s="1019">
        <f t="shared" si="16"/>
        <v>3125</v>
      </c>
      <c r="O60" s="1019">
        <f t="shared" si="16"/>
        <v>3125</v>
      </c>
      <c r="P60" s="1021">
        <f t="shared" si="16"/>
        <v>3125</v>
      </c>
      <c r="Q60" s="1021">
        <f t="shared" si="16"/>
        <v>3125</v>
      </c>
      <c r="R60" s="1019">
        <f t="shared" si="16"/>
        <v>3125</v>
      </c>
      <c r="S60" s="1021">
        <f t="shared" si="16"/>
        <v>3125</v>
      </c>
      <c r="T60" s="1019">
        <f t="shared" si="16"/>
        <v>3125</v>
      </c>
      <c r="U60" s="1021">
        <f t="shared" si="16"/>
        <v>3125</v>
      </c>
      <c r="V60" s="1019">
        <f t="shared" si="16"/>
        <v>3125</v>
      </c>
      <c r="W60" s="1021">
        <f t="shared" si="16"/>
        <v>3125</v>
      </c>
      <c r="X60" s="1019">
        <f t="shared" si="16"/>
        <v>3125</v>
      </c>
      <c r="Y60" s="1019">
        <f t="shared" si="16"/>
        <v>3125</v>
      </c>
      <c r="Z60" s="1021">
        <f t="shared" si="16"/>
        <v>3125</v>
      </c>
      <c r="AA60" s="1021">
        <f t="shared" si="16"/>
        <v>3125</v>
      </c>
      <c r="AB60" s="1019">
        <f t="shared" si="16"/>
        <v>3125</v>
      </c>
      <c r="AC60" s="1019">
        <f t="shared" si="16"/>
        <v>3125</v>
      </c>
      <c r="AD60" s="1023">
        <f t="shared" si="15"/>
        <v>3125</v>
      </c>
      <c r="AE60" s="1024"/>
      <c r="AF60" s="1025"/>
      <c r="AG60" s="1025"/>
      <c r="AH60" s="1025"/>
      <c r="AI60" s="1025"/>
      <c r="AJ60" s="1023">
        <f t="shared" si="11"/>
        <v>0</v>
      </c>
      <c r="AK60" s="1026">
        <f t="shared" si="12"/>
        <v>0</v>
      </c>
    </row>
    <row r="61" spans="1:37">
      <c r="A61" s="998" t="s">
        <v>23</v>
      </c>
      <c r="B61" s="873" t="s">
        <v>522</v>
      </c>
      <c r="D61" s="1011">
        <f>'Devel. Bud'!D35</f>
        <v>100000</v>
      </c>
      <c r="E61" s="1012"/>
      <c r="F61" s="1060">
        <f>D61*80%</f>
        <v>80000</v>
      </c>
      <c r="G61" s="1018"/>
      <c r="H61" s="1019"/>
      <c r="I61" s="1019"/>
      <c r="J61" s="1019"/>
      <c r="K61" s="1019"/>
      <c r="L61" s="1021"/>
      <c r="M61" s="1019"/>
      <c r="N61" s="1019"/>
      <c r="O61" s="1019"/>
      <c r="P61" s="1021"/>
      <c r="Q61" s="1021"/>
      <c r="R61" s="1019"/>
      <c r="S61" s="1021"/>
      <c r="T61" s="1019"/>
      <c r="U61" s="1021"/>
      <c r="V61" s="1019"/>
      <c r="W61" s="1021"/>
      <c r="X61" s="1019"/>
      <c r="Y61" s="1019"/>
      <c r="Z61" s="1021"/>
      <c r="AA61" s="1021"/>
      <c r="AB61" s="1019"/>
      <c r="AC61" s="1019"/>
      <c r="AD61" s="1023">
        <f t="shared" si="15"/>
        <v>20000</v>
      </c>
      <c r="AE61" s="1024"/>
      <c r="AF61" s="1025"/>
      <c r="AG61" s="1025"/>
      <c r="AH61" s="1025"/>
      <c r="AI61" s="1025"/>
      <c r="AJ61" s="1023">
        <f t="shared" si="11"/>
        <v>0</v>
      </c>
      <c r="AK61" s="1026">
        <f t="shared" si="12"/>
        <v>0</v>
      </c>
    </row>
    <row r="62" spans="1:37">
      <c r="A62" s="998" t="s">
        <v>124</v>
      </c>
      <c r="B62" s="873" t="s">
        <v>281</v>
      </c>
      <c r="D62" s="1011">
        <f>'Devel. Bud'!D36</f>
        <v>25000</v>
      </c>
      <c r="E62" s="1012"/>
      <c r="F62" s="1060">
        <f>D62*90%</f>
        <v>22500</v>
      </c>
      <c r="G62" s="1018">
        <f>D62-F62</f>
        <v>2500</v>
      </c>
      <c r="H62" s="1019"/>
      <c r="I62" s="1019"/>
      <c r="J62" s="1019"/>
      <c r="K62" s="1019"/>
      <c r="L62" s="1021"/>
      <c r="M62" s="1019"/>
      <c r="N62" s="1019"/>
      <c r="O62" s="1019"/>
      <c r="P62" s="1021"/>
      <c r="Q62" s="1021"/>
      <c r="R62" s="1019"/>
      <c r="S62" s="1021"/>
      <c r="T62" s="1019"/>
      <c r="U62" s="1021"/>
      <c r="V62" s="1019"/>
      <c r="W62" s="1021"/>
      <c r="X62" s="1019"/>
      <c r="Y62" s="1019"/>
      <c r="Z62" s="1021"/>
      <c r="AA62" s="1021"/>
      <c r="AB62" s="1019"/>
      <c r="AC62" s="1019"/>
      <c r="AD62" s="1023"/>
      <c r="AE62" s="1024"/>
      <c r="AF62" s="1025"/>
      <c r="AG62" s="1025"/>
      <c r="AH62" s="1025"/>
      <c r="AI62" s="1025"/>
      <c r="AJ62" s="1023">
        <f t="shared" si="11"/>
        <v>0</v>
      </c>
      <c r="AK62" s="1026">
        <f t="shared" si="12"/>
        <v>0</v>
      </c>
    </row>
    <row r="63" spans="1:37">
      <c r="A63" s="998" t="s">
        <v>336</v>
      </c>
      <c r="B63" s="873" t="s">
        <v>281</v>
      </c>
      <c r="D63" s="1011">
        <f>'Devel. Bud'!D37</f>
        <v>50000</v>
      </c>
      <c r="E63" s="1012"/>
      <c r="F63" s="1060">
        <f>D63</f>
        <v>50000</v>
      </c>
      <c r="G63" s="1018"/>
      <c r="H63" s="1019"/>
      <c r="I63" s="1019"/>
      <c r="J63" s="1019"/>
      <c r="K63" s="1019"/>
      <c r="L63" s="1021"/>
      <c r="M63" s="1019"/>
      <c r="N63" s="1019"/>
      <c r="O63" s="1019"/>
      <c r="P63" s="1021"/>
      <c r="Q63" s="1021"/>
      <c r="R63" s="1019"/>
      <c r="S63" s="1021"/>
      <c r="T63" s="1019"/>
      <c r="U63" s="1021"/>
      <c r="V63" s="1019"/>
      <c r="W63" s="1021"/>
      <c r="X63" s="1019"/>
      <c r="Y63" s="1019"/>
      <c r="Z63" s="1021"/>
      <c r="AA63" s="1021"/>
      <c r="AB63" s="1019"/>
      <c r="AC63" s="1019"/>
      <c r="AD63" s="1023"/>
      <c r="AE63" s="1024"/>
      <c r="AF63" s="1025"/>
      <c r="AG63" s="1025"/>
      <c r="AH63" s="1025"/>
      <c r="AI63" s="1025"/>
      <c r="AJ63" s="1023">
        <f t="shared" si="11"/>
        <v>0</v>
      </c>
      <c r="AK63" s="1026">
        <f t="shared" ref="AK63" si="17">SUM(F63:AJ63)-D63</f>
        <v>0</v>
      </c>
    </row>
    <row r="64" spans="1:37">
      <c r="A64" s="986" t="s">
        <v>66</v>
      </c>
      <c r="D64" s="987">
        <f ca="1">SUM(D48:D63)</f>
        <v>2403000</v>
      </c>
      <c r="E64" s="1001"/>
      <c r="F64" s="1060"/>
      <c r="G64" s="1018"/>
      <c r="H64" s="1019"/>
      <c r="I64" s="1019"/>
      <c r="J64" s="1019"/>
      <c r="K64" s="1019"/>
      <c r="L64" s="1021"/>
      <c r="M64" s="1019"/>
      <c r="N64" s="1019"/>
      <c r="O64" s="1019"/>
      <c r="P64" s="1021"/>
      <c r="Q64" s="1021"/>
      <c r="R64" s="1019"/>
      <c r="S64" s="1021"/>
      <c r="T64" s="1019"/>
      <c r="U64" s="1021"/>
      <c r="V64" s="1019"/>
      <c r="W64" s="1021"/>
      <c r="X64" s="1019"/>
      <c r="Y64" s="1019"/>
      <c r="Z64" s="1021"/>
      <c r="AA64" s="1021"/>
      <c r="AB64" s="1019"/>
      <c r="AC64" s="1019"/>
      <c r="AD64" s="1023"/>
      <c r="AE64" s="1024"/>
      <c r="AF64" s="1025"/>
      <c r="AG64" s="1025"/>
      <c r="AH64" s="1025"/>
      <c r="AI64" s="1025"/>
      <c r="AJ64" s="1023"/>
      <c r="AK64" s="1026"/>
    </row>
    <row r="65" spans="1:37">
      <c r="A65" s="986"/>
      <c r="D65" s="987"/>
      <c r="E65" s="1027"/>
      <c r="F65" s="1060"/>
      <c r="G65" s="1018"/>
      <c r="H65" s="1019"/>
      <c r="I65" s="1019"/>
      <c r="J65" s="1019"/>
      <c r="K65" s="1019"/>
      <c r="L65" s="1021"/>
      <c r="M65" s="1019"/>
      <c r="N65" s="1019"/>
      <c r="O65" s="1019"/>
      <c r="P65" s="1021"/>
      <c r="Q65" s="1021"/>
      <c r="R65" s="1019"/>
      <c r="S65" s="1021"/>
      <c r="T65" s="1019"/>
      <c r="U65" s="1021"/>
      <c r="V65" s="1019"/>
      <c r="W65" s="1021"/>
      <c r="X65" s="1019"/>
      <c r="Y65" s="1019"/>
      <c r="Z65" s="1021"/>
      <c r="AA65" s="1021"/>
      <c r="AB65" s="1019"/>
      <c r="AC65" s="1019"/>
      <c r="AD65" s="1023"/>
      <c r="AE65" s="1024"/>
      <c r="AF65" s="1025"/>
      <c r="AG65" s="1025"/>
      <c r="AH65" s="1025"/>
      <c r="AI65" s="1025"/>
      <c r="AJ65" s="1023"/>
      <c r="AK65" s="1026"/>
    </row>
    <row r="66" spans="1:37" ht="15">
      <c r="A66" s="976" t="s">
        <v>353</v>
      </c>
      <c r="D66" s="1028"/>
      <c r="E66" s="1010"/>
      <c r="F66" s="1060"/>
      <c r="G66" s="1018"/>
      <c r="H66" s="1019"/>
      <c r="I66" s="1019"/>
      <c r="J66" s="1019"/>
      <c r="K66" s="1019"/>
      <c r="L66" s="1021"/>
      <c r="M66" s="1019"/>
      <c r="N66" s="1019"/>
      <c r="O66" s="1019"/>
      <c r="P66" s="1021"/>
      <c r="Q66" s="1021"/>
      <c r="R66" s="1019"/>
      <c r="S66" s="1021"/>
      <c r="T66" s="1019"/>
      <c r="U66" s="1021"/>
      <c r="V66" s="1019"/>
      <c r="W66" s="1021"/>
      <c r="X66" s="1019"/>
      <c r="Y66" s="1019"/>
      <c r="Z66" s="1021"/>
      <c r="AA66" s="1021"/>
      <c r="AB66" s="1019"/>
      <c r="AC66" s="1019"/>
      <c r="AD66" s="1023"/>
      <c r="AE66" s="1024"/>
      <c r="AF66" s="1025"/>
      <c r="AG66" s="1025"/>
      <c r="AH66" s="1025"/>
      <c r="AI66" s="1025"/>
      <c r="AJ66" s="1023"/>
      <c r="AK66" s="1026"/>
    </row>
    <row r="67" spans="1:37">
      <c r="A67" s="998" t="s">
        <v>331</v>
      </c>
      <c r="B67" s="873" t="s">
        <v>281</v>
      </c>
      <c r="D67" s="1011">
        <f>'Devel. Bud'!D41</f>
        <v>125000</v>
      </c>
      <c r="E67" s="1012"/>
      <c r="F67" s="1060"/>
      <c r="G67" s="1018">
        <f>$D$67/24</f>
        <v>5208.333333333333</v>
      </c>
      <c r="H67" s="1019">
        <f t="shared" ref="H67:AC67" si="18">$D$67/24</f>
        <v>5208.333333333333</v>
      </c>
      <c r="I67" s="1019">
        <f t="shared" si="18"/>
        <v>5208.333333333333</v>
      </c>
      <c r="J67" s="1019">
        <f t="shared" si="18"/>
        <v>5208.333333333333</v>
      </c>
      <c r="K67" s="1019">
        <f t="shared" si="18"/>
        <v>5208.333333333333</v>
      </c>
      <c r="L67" s="1021">
        <f t="shared" si="18"/>
        <v>5208.333333333333</v>
      </c>
      <c r="M67" s="1019">
        <f t="shared" si="18"/>
        <v>5208.333333333333</v>
      </c>
      <c r="N67" s="1019">
        <f t="shared" si="18"/>
        <v>5208.333333333333</v>
      </c>
      <c r="O67" s="1019">
        <f t="shared" si="18"/>
        <v>5208.333333333333</v>
      </c>
      <c r="P67" s="1021">
        <f t="shared" si="18"/>
        <v>5208.333333333333</v>
      </c>
      <c r="Q67" s="1021">
        <f t="shared" si="18"/>
        <v>5208.333333333333</v>
      </c>
      <c r="R67" s="1019">
        <f t="shared" si="18"/>
        <v>5208.333333333333</v>
      </c>
      <c r="S67" s="1021">
        <f t="shared" si="18"/>
        <v>5208.333333333333</v>
      </c>
      <c r="T67" s="1019">
        <f t="shared" si="18"/>
        <v>5208.333333333333</v>
      </c>
      <c r="U67" s="1021">
        <f t="shared" si="18"/>
        <v>5208.333333333333</v>
      </c>
      <c r="V67" s="1019">
        <f t="shared" si="18"/>
        <v>5208.333333333333</v>
      </c>
      <c r="W67" s="1021">
        <f t="shared" si="18"/>
        <v>5208.333333333333</v>
      </c>
      <c r="X67" s="1019">
        <f t="shared" si="18"/>
        <v>5208.333333333333</v>
      </c>
      <c r="Y67" s="1019">
        <f t="shared" si="18"/>
        <v>5208.333333333333</v>
      </c>
      <c r="Z67" s="1021">
        <f t="shared" si="18"/>
        <v>5208.333333333333</v>
      </c>
      <c r="AA67" s="1021">
        <f t="shared" si="18"/>
        <v>5208.333333333333</v>
      </c>
      <c r="AB67" s="1019">
        <f t="shared" si="18"/>
        <v>5208.333333333333</v>
      </c>
      <c r="AC67" s="1019">
        <f t="shared" si="18"/>
        <v>5208.333333333333</v>
      </c>
      <c r="AD67" s="1023">
        <f t="shared" si="15"/>
        <v>5208.3333333333721</v>
      </c>
      <c r="AE67" s="1024"/>
      <c r="AF67" s="1025"/>
      <c r="AG67" s="1025"/>
      <c r="AH67" s="1025"/>
      <c r="AI67" s="1025"/>
      <c r="AJ67" s="1023">
        <f t="shared" ref="AJ67:AJ73" si="19">D67-SUM(F67:AI67)</f>
        <v>0</v>
      </c>
      <c r="AK67" s="1026">
        <f t="shared" si="12"/>
        <v>0</v>
      </c>
    </row>
    <row r="68" spans="1:37">
      <c r="A68" s="998" t="s">
        <v>332</v>
      </c>
      <c r="B68" s="873" t="s">
        <v>281</v>
      </c>
      <c r="D68" s="1011">
        <f>'Devel. Bud'!D42</f>
        <v>250000</v>
      </c>
      <c r="E68" s="1012"/>
      <c r="F68" s="1060"/>
      <c r="G68" s="1018">
        <f>$D$68/24</f>
        <v>10416.666666666666</v>
      </c>
      <c r="H68" s="1019">
        <f t="shared" ref="H68:AC68" si="20">$D$68/24</f>
        <v>10416.666666666666</v>
      </c>
      <c r="I68" s="1019">
        <f t="shared" si="20"/>
        <v>10416.666666666666</v>
      </c>
      <c r="J68" s="1019">
        <f t="shared" si="20"/>
        <v>10416.666666666666</v>
      </c>
      <c r="K68" s="1019">
        <f t="shared" si="20"/>
        <v>10416.666666666666</v>
      </c>
      <c r="L68" s="1021">
        <f t="shared" si="20"/>
        <v>10416.666666666666</v>
      </c>
      <c r="M68" s="1019">
        <f t="shared" si="20"/>
        <v>10416.666666666666</v>
      </c>
      <c r="N68" s="1019">
        <f t="shared" si="20"/>
        <v>10416.666666666666</v>
      </c>
      <c r="O68" s="1019">
        <f t="shared" si="20"/>
        <v>10416.666666666666</v>
      </c>
      <c r="P68" s="1021">
        <f t="shared" si="20"/>
        <v>10416.666666666666</v>
      </c>
      <c r="Q68" s="1021">
        <f t="shared" si="20"/>
        <v>10416.666666666666</v>
      </c>
      <c r="R68" s="1019">
        <f t="shared" si="20"/>
        <v>10416.666666666666</v>
      </c>
      <c r="S68" s="1021">
        <f t="shared" si="20"/>
        <v>10416.666666666666</v>
      </c>
      <c r="T68" s="1019">
        <f t="shared" si="20"/>
        <v>10416.666666666666</v>
      </c>
      <c r="U68" s="1021">
        <f t="shared" si="20"/>
        <v>10416.666666666666</v>
      </c>
      <c r="V68" s="1019">
        <f t="shared" si="20"/>
        <v>10416.666666666666</v>
      </c>
      <c r="W68" s="1021">
        <f t="shared" si="20"/>
        <v>10416.666666666666</v>
      </c>
      <c r="X68" s="1019">
        <f t="shared" si="20"/>
        <v>10416.666666666666</v>
      </c>
      <c r="Y68" s="1019">
        <f t="shared" si="20"/>
        <v>10416.666666666666</v>
      </c>
      <c r="Z68" s="1021">
        <f t="shared" si="20"/>
        <v>10416.666666666666</v>
      </c>
      <c r="AA68" s="1021">
        <f t="shared" si="20"/>
        <v>10416.666666666666</v>
      </c>
      <c r="AB68" s="1019">
        <f t="shared" si="20"/>
        <v>10416.666666666666</v>
      </c>
      <c r="AC68" s="1019">
        <f t="shared" si="20"/>
        <v>10416.666666666666</v>
      </c>
      <c r="AD68" s="1023">
        <f t="shared" si="15"/>
        <v>10416.666666666744</v>
      </c>
      <c r="AE68" s="1024"/>
      <c r="AF68" s="1025"/>
      <c r="AG68" s="1025"/>
      <c r="AH68" s="1025"/>
      <c r="AI68" s="1025"/>
      <c r="AJ68" s="1023">
        <f t="shared" si="19"/>
        <v>0</v>
      </c>
      <c r="AK68" s="1026">
        <f t="shared" si="12"/>
        <v>0</v>
      </c>
    </row>
    <row r="69" spans="1:37">
      <c r="A69" s="998" t="s">
        <v>335</v>
      </c>
      <c r="B69" s="873" t="s">
        <v>281</v>
      </c>
      <c r="D69" s="1011">
        <f>'Devel. Bud'!D43</f>
        <v>100000</v>
      </c>
      <c r="E69" s="1012"/>
      <c r="F69" s="1060">
        <f>D69</f>
        <v>100000</v>
      </c>
      <c r="G69" s="1018"/>
      <c r="H69" s="1019"/>
      <c r="I69" s="1019"/>
      <c r="J69" s="1019"/>
      <c r="K69" s="1019"/>
      <c r="L69" s="1021"/>
      <c r="M69" s="1019"/>
      <c r="N69" s="1019"/>
      <c r="O69" s="1019"/>
      <c r="P69" s="1021"/>
      <c r="Q69" s="1021"/>
      <c r="R69" s="1019"/>
      <c r="S69" s="1021"/>
      <c r="T69" s="1019"/>
      <c r="U69" s="1021"/>
      <c r="V69" s="1019"/>
      <c r="W69" s="1021"/>
      <c r="X69" s="1019"/>
      <c r="Y69" s="1019"/>
      <c r="Z69" s="1021"/>
      <c r="AA69" s="1021"/>
      <c r="AB69" s="1019"/>
      <c r="AC69" s="1019"/>
      <c r="AD69" s="1023"/>
      <c r="AE69" s="1024"/>
      <c r="AF69" s="1025"/>
      <c r="AG69" s="1025"/>
      <c r="AH69" s="1025"/>
      <c r="AI69" s="1025"/>
      <c r="AJ69" s="1023">
        <f t="shared" si="19"/>
        <v>0</v>
      </c>
      <c r="AK69" s="1026">
        <f t="shared" si="12"/>
        <v>0</v>
      </c>
    </row>
    <row r="70" spans="1:37">
      <c r="A70" s="998" t="s">
        <v>479</v>
      </c>
      <c r="B70" s="873" t="s">
        <v>281</v>
      </c>
      <c r="D70" s="1011">
        <f>'Devel. Bud'!D44</f>
        <v>120000</v>
      </c>
      <c r="E70" s="1012"/>
      <c r="F70" s="1060"/>
      <c r="G70" s="1018">
        <f>$D$70/24</f>
        <v>5000</v>
      </c>
      <c r="H70" s="1019">
        <f t="shared" ref="H70:AC70" si="21">$D$70/24</f>
        <v>5000</v>
      </c>
      <c r="I70" s="1019">
        <f t="shared" si="21"/>
        <v>5000</v>
      </c>
      <c r="J70" s="1019">
        <f t="shared" si="21"/>
        <v>5000</v>
      </c>
      <c r="K70" s="1019">
        <f t="shared" si="21"/>
        <v>5000</v>
      </c>
      <c r="L70" s="1021">
        <f t="shared" si="21"/>
        <v>5000</v>
      </c>
      <c r="M70" s="1019">
        <f t="shared" si="21"/>
        <v>5000</v>
      </c>
      <c r="N70" s="1019">
        <f t="shared" si="21"/>
        <v>5000</v>
      </c>
      <c r="O70" s="1019">
        <f t="shared" si="21"/>
        <v>5000</v>
      </c>
      <c r="P70" s="1021">
        <f t="shared" si="21"/>
        <v>5000</v>
      </c>
      <c r="Q70" s="1021">
        <f t="shared" si="21"/>
        <v>5000</v>
      </c>
      <c r="R70" s="1019">
        <f t="shared" si="21"/>
        <v>5000</v>
      </c>
      <c r="S70" s="1021">
        <f t="shared" si="21"/>
        <v>5000</v>
      </c>
      <c r="T70" s="1019">
        <f t="shared" si="21"/>
        <v>5000</v>
      </c>
      <c r="U70" s="1021">
        <f t="shared" si="21"/>
        <v>5000</v>
      </c>
      <c r="V70" s="1019">
        <f t="shared" si="21"/>
        <v>5000</v>
      </c>
      <c r="W70" s="1021">
        <f t="shared" si="21"/>
        <v>5000</v>
      </c>
      <c r="X70" s="1019">
        <f t="shared" si="21"/>
        <v>5000</v>
      </c>
      <c r="Y70" s="1019">
        <f t="shared" si="21"/>
        <v>5000</v>
      </c>
      <c r="Z70" s="1021">
        <f t="shared" si="21"/>
        <v>5000</v>
      </c>
      <c r="AA70" s="1021">
        <f t="shared" si="21"/>
        <v>5000</v>
      </c>
      <c r="AB70" s="1019">
        <f t="shared" si="21"/>
        <v>5000</v>
      </c>
      <c r="AC70" s="1019">
        <f t="shared" si="21"/>
        <v>5000</v>
      </c>
      <c r="AD70" s="1023">
        <f t="shared" si="15"/>
        <v>5000</v>
      </c>
      <c r="AE70" s="1024"/>
      <c r="AF70" s="1025"/>
      <c r="AG70" s="1025"/>
      <c r="AH70" s="1025"/>
      <c r="AI70" s="1025"/>
      <c r="AJ70" s="1023">
        <f t="shared" si="19"/>
        <v>0</v>
      </c>
      <c r="AK70" s="1026">
        <f t="shared" si="12"/>
        <v>0</v>
      </c>
    </row>
    <row r="71" spans="1:37">
      <c r="A71" s="998" t="s">
        <v>356</v>
      </c>
      <c r="D71" s="1011">
        <f>'Devel. Bud'!D45</f>
        <v>0</v>
      </c>
      <c r="E71" s="1012"/>
      <c r="F71" s="1060"/>
      <c r="G71" s="1018">
        <f>$D$71/24</f>
        <v>0</v>
      </c>
      <c r="H71" s="1019">
        <f t="shared" ref="H71:AC71" si="22">$D$71/24</f>
        <v>0</v>
      </c>
      <c r="I71" s="1019">
        <f t="shared" si="22"/>
        <v>0</v>
      </c>
      <c r="J71" s="1019">
        <f t="shared" si="22"/>
        <v>0</v>
      </c>
      <c r="K71" s="1019">
        <f t="shared" si="22"/>
        <v>0</v>
      </c>
      <c r="L71" s="1021">
        <f t="shared" si="22"/>
        <v>0</v>
      </c>
      <c r="M71" s="1019">
        <f t="shared" si="22"/>
        <v>0</v>
      </c>
      <c r="N71" s="1019">
        <f t="shared" si="22"/>
        <v>0</v>
      </c>
      <c r="O71" s="1019">
        <f t="shared" si="22"/>
        <v>0</v>
      </c>
      <c r="P71" s="1021">
        <f t="shared" si="22"/>
        <v>0</v>
      </c>
      <c r="Q71" s="1021">
        <f t="shared" si="22"/>
        <v>0</v>
      </c>
      <c r="R71" s="1019">
        <f t="shared" si="22"/>
        <v>0</v>
      </c>
      <c r="S71" s="1021">
        <f t="shared" si="22"/>
        <v>0</v>
      </c>
      <c r="T71" s="1019">
        <f t="shared" si="22"/>
        <v>0</v>
      </c>
      <c r="U71" s="1021">
        <f t="shared" si="22"/>
        <v>0</v>
      </c>
      <c r="V71" s="1019">
        <f t="shared" si="22"/>
        <v>0</v>
      </c>
      <c r="W71" s="1021">
        <f t="shared" si="22"/>
        <v>0</v>
      </c>
      <c r="X71" s="1019">
        <f t="shared" si="22"/>
        <v>0</v>
      </c>
      <c r="Y71" s="1019">
        <f t="shared" si="22"/>
        <v>0</v>
      </c>
      <c r="Z71" s="1021">
        <f t="shared" si="22"/>
        <v>0</v>
      </c>
      <c r="AA71" s="1021">
        <f t="shared" si="22"/>
        <v>0</v>
      </c>
      <c r="AB71" s="1019">
        <f t="shared" si="22"/>
        <v>0</v>
      </c>
      <c r="AC71" s="1019">
        <f t="shared" si="22"/>
        <v>0</v>
      </c>
      <c r="AD71" s="1023">
        <f t="shared" si="15"/>
        <v>0</v>
      </c>
      <c r="AE71" s="1024"/>
      <c r="AF71" s="1025"/>
      <c r="AG71" s="1025"/>
      <c r="AH71" s="1025"/>
      <c r="AI71" s="1025"/>
      <c r="AJ71" s="1023">
        <f t="shared" si="19"/>
        <v>0</v>
      </c>
      <c r="AK71" s="1026">
        <f t="shared" si="12"/>
        <v>0</v>
      </c>
    </row>
    <row r="72" spans="1:37">
      <c r="A72" s="998" t="s">
        <v>401</v>
      </c>
      <c r="D72" s="1011">
        <f>'Devel. Bud'!D46</f>
        <v>0</v>
      </c>
      <c r="E72" s="1012"/>
      <c r="F72" s="1060"/>
      <c r="G72" s="1018"/>
      <c r="H72" s="1019"/>
      <c r="I72" s="1019"/>
      <c r="J72" s="1019"/>
      <c r="K72" s="1019"/>
      <c r="L72" s="1021"/>
      <c r="M72" s="1019"/>
      <c r="N72" s="1019"/>
      <c r="O72" s="1019"/>
      <c r="P72" s="1021"/>
      <c r="Q72" s="1021"/>
      <c r="R72" s="1019"/>
      <c r="S72" s="1021"/>
      <c r="T72" s="1019"/>
      <c r="U72" s="1021"/>
      <c r="V72" s="1019"/>
      <c r="W72" s="1021"/>
      <c r="X72" s="1019"/>
      <c r="Y72" s="1019"/>
      <c r="Z72" s="1021"/>
      <c r="AA72" s="1021"/>
      <c r="AB72" s="1019"/>
      <c r="AC72" s="1019"/>
      <c r="AD72" s="1023">
        <f t="shared" si="15"/>
        <v>0</v>
      </c>
      <c r="AE72" s="1024"/>
      <c r="AF72" s="1025"/>
      <c r="AG72" s="1025"/>
      <c r="AH72" s="1025"/>
      <c r="AI72" s="1025"/>
      <c r="AJ72" s="1023">
        <f t="shared" si="19"/>
        <v>0</v>
      </c>
      <c r="AK72" s="1026">
        <f t="shared" si="12"/>
        <v>0</v>
      </c>
    </row>
    <row r="73" spans="1:37">
      <c r="A73" s="998" t="s">
        <v>355</v>
      </c>
      <c r="B73" s="873" t="s">
        <v>281</v>
      </c>
      <c r="D73" s="1011">
        <f>'Devel. Bud'!D47</f>
        <v>5000</v>
      </c>
      <c r="E73" s="1012"/>
      <c r="F73" s="1060"/>
      <c r="G73" s="1018"/>
      <c r="H73" s="1019"/>
      <c r="I73" s="1019"/>
      <c r="J73" s="1019"/>
      <c r="K73" s="1019"/>
      <c r="L73" s="1021"/>
      <c r="M73" s="1019"/>
      <c r="N73" s="1019"/>
      <c r="O73" s="1019"/>
      <c r="P73" s="1021"/>
      <c r="Q73" s="1021"/>
      <c r="R73" s="1019"/>
      <c r="S73" s="1021"/>
      <c r="T73" s="1019"/>
      <c r="U73" s="1021"/>
      <c r="V73" s="1019"/>
      <c r="W73" s="1021"/>
      <c r="X73" s="1019"/>
      <c r="Y73" s="1019"/>
      <c r="Z73" s="1021"/>
      <c r="AA73" s="1021"/>
      <c r="AB73" s="1019"/>
      <c r="AC73" s="1019"/>
      <c r="AD73" s="1023">
        <f>D73</f>
        <v>5000</v>
      </c>
      <c r="AE73" s="1024"/>
      <c r="AF73" s="1025"/>
      <c r="AG73" s="1025"/>
      <c r="AH73" s="1025"/>
      <c r="AI73" s="1025"/>
      <c r="AJ73" s="1023">
        <f t="shared" si="19"/>
        <v>0</v>
      </c>
      <c r="AK73" s="1026">
        <f t="shared" si="12"/>
        <v>0</v>
      </c>
    </row>
    <row r="74" spans="1:37">
      <c r="A74" s="986" t="s">
        <v>66</v>
      </c>
      <c r="D74" s="987">
        <f>SUM(D67:D73)</f>
        <v>600000</v>
      </c>
      <c r="E74" s="1001"/>
      <c r="F74" s="1060"/>
      <c r="G74" s="1018"/>
      <c r="H74" s="1019"/>
      <c r="I74" s="1019"/>
      <c r="J74" s="1019"/>
      <c r="K74" s="1019"/>
      <c r="L74" s="1021"/>
      <c r="M74" s="1019"/>
      <c r="N74" s="1019"/>
      <c r="O74" s="1019"/>
      <c r="P74" s="1021"/>
      <c r="Q74" s="1021"/>
      <c r="R74" s="1019"/>
      <c r="S74" s="1021"/>
      <c r="T74" s="1019"/>
      <c r="U74" s="1021"/>
      <c r="V74" s="1019"/>
      <c r="W74" s="1021"/>
      <c r="X74" s="1019"/>
      <c r="Y74" s="1019"/>
      <c r="Z74" s="1021"/>
      <c r="AA74" s="1021"/>
      <c r="AB74" s="1019"/>
      <c r="AC74" s="1019"/>
      <c r="AD74" s="1023"/>
      <c r="AE74" s="1024"/>
      <c r="AF74" s="1025"/>
      <c r="AG74" s="1025"/>
      <c r="AH74" s="1025"/>
      <c r="AI74" s="1025"/>
      <c r="AJ74" s="1023"/>
      <c r="AK74" s="1026"/>
    </row>
    <row r="75" spans="1:37">
      <c r="A75" s="998"/>
      <c r="D75" s="1011"/>
      <c r="E75" s="1012"/>
      <c r="F75" s="1060"/>
      <c r="G75" s="1018"/>
      <c r="H75" s="1019"/>
      <c r="I75" s="1019"/>
      <c r="J75" s="1019"/>
      <c r="K75" s="1019"/>
      <c r="L75" s="1021"/>
      <c r="M75" s="1019"/>
      <c r="N75" s="1019"/>
      <c r="O75" s="1019"/>
      <c r="P75" s="1021"/>
      <c r="Q75" s="1021"/>
      <c r="R75" s="1019"/>
      <c r="S75" s="1021"/>
      <c r="T75" s="1019"/>
      <c r="U75" s="1021"/>
      <c r="V75" s="1019"/>
      <c r="W75" s="1021"/>
      <c r="X75" s="1019"/>
      <c r="Y75" s="1019"/>
      <c r="Z75" s="1021"/>
      <c r="AA75" s="1021"/>
      <c r="AB75" s="1019"/>
      <c r="AC75" s="1019"/>
      <c r="AD75" s="1023"/>
      <c r="AE75" s="1024"/>
      <c r="AF75" s="1025"/>
      <c r="AG75" s="1025"/>
      <c r="AH75" s="1025"/>
      <c r="AI75" s="1025"/>
      <c r="AJ75" s="1023"/>
      <c r="AK75" s="1026"/>
    </row>
    <row r="76" spans="1:37">
      <c r="A76" s="976" t="s">
        <v>72</v>
      </c>
      <c r="B76" s="1029"/>
      <c r="C76" s="1029"/>
      <c r="D76" s="1030"/>
      <c r="E76" s="1031"/>
      <c r="F76" s="1060"/>
      <c r="G76" s="1018"/>
      <c r="H76" s="1019"/>
      <c r="I76" s="1019"/>
      <c r="J76" s="1019"/>
      <c r="K76" s="1019"/>
      <c r="L76" s="1021"/>
      <c r="M76" s="1019"/>
      <c r="N76" s="1019"/>
      <c r="O76" s="1019"/>
      <c r="P76" s="1021"/>
      <c r="Q76" s="1021"/>
      <c r="R76" s="1019"/>
      <c r="S76" s="1021"/>
      <c r="T76" s="1019"/>
      <c r="U76" s="1021"/>
      <c r="V76" s="1019"/>
      <c r="W76" s="1021"/>
      <c r="X76" s="1019"/>
      <c r="Y76" s="1019"/>
      <c r="Z76" s="1021"/>
      <c r="AA76" s="1021"/>
      <c r="AB76" s="1019"/>
      <c r="AC76" s="1019"/>
      <c r="AD76" s="1023"/>
      <c r="AE76" s="1024"/>
      <c r="AF76" s="1025"/>
      <c r="AG76" s="1025"/>
      <c r="AH76" s="1025"/>
      <c r="AI76" s="1025"/>
      <c r="AJ76" s="1023"/>
      <c r="AK76" s="1026"/>
    </row>
    <row r="77" spans="1:37" ht="12" customHeight="1">
      <c r="A77" s="998" t="s">
        <v>494</v>
      </c>
      <c r="B77" s="873" t="s">
        <v>522</v>
      </c>
      <c r="D77" s="1011">
        <f ca="1">'Source by Use'!E45</f>
        <v>194309.28502016328</v>
      </c>
      <c r="E77" s="1012"/>
      <c r="F77" s="1060">
        <f ca="1">D77</f>
        <v>194309.28502016328</v>
      </c>
      <c r="G77" s="1018"/>
      <c r="H77" s="1019"/>
      <c r="I77" s="1019"/>
      <c r="J77" s="1019"/>
      <c r="K77" s="1019"/>
      <c r="L77" s="1021"/>
      <c r="M77" s="1019"/>
      <c r="N77" s="1019"/>
      <c r="O77" s="1019"/>
      <c r="P77" s="1021"/>
      <c r="Q77" s="1021"/>
      <c r="R77" s="1019"/>
      <c r="S77" s="1021"/>
      <c r="T77" s="1019"/>
      <c r="U77" s="1021"/>
      <c r="V77" s="1019"/>
      <c r="W77" s="1021"/>
      <c r="X77" s="1019"/>
      <c r="Y77" s="1019"/>
      <c r="Z77" s="1021"/>
      <c r="AA77" s="1021"/>
      <c r="AB77" s="1019"/>
      <c r="AC77" s="1019"/>
      <c r="AD77" s="1023"/>
      <c r="AE77" s="1024"/>
      <c r="AF77" s="1025"/>
      <c r="AG77" s="1025"/>
      <c r="AH77" s="1025"/>
      <c r="AI77" s="1025"/>
      <c r="AJ77" s="1023">
        <f t="shared" ref="AJ77:AJ83" ca="1" si="23">D77-SUM(F77:AI77)</f>
        <v>0</v>
      </c>
      <c r="AK77" s="1026">
        <f t="shared" ref="AK77:AK84" ca="1" si="24">SUM(F77:AJ77)-D77</f>
        <v>0</v>
      </c>
    </row>
    <row r="78" spans="1:37" ht="12" customHeight="1">
      <c r="A78" s="998" t="s">
        <v>494</v>
      </c>
      <c r="B78" s="873" t="s">
        <v>281</v>
      </c>
      <c r="D78" s="1011">
        <f ca="1">'Source by Use'!J45</f>
        <v>50690.714979836717</v>
      </c>
      <c r="E78" s="1012"/>
      <c r="F78" s="1060">
        <f ca="1">D78</f>
        <v>50690.714979836717</v>
      </c>
      <c r="G78" s="1063"/>
      <c r="H78" s="1064"/>
      <c r="I78" s="1019"/>
      <c r="J78" s="1115"/>
      <c r="K78" s="1019"/>
      <c r="L78" s="1062"/>
      <c r="M78" s="1019"/>
      <c r="N78" s="1019"/>
      <c r="O78" s="1019"/>
      <c r="P78" s="1062"/>
      <c r="Q78" s="1115"/>
      <c r="R78" s="1062"/>
      <c r="S78" s="1115"/>
      <c r="T78" s="1019"/>
      <c r="U78" s="1062"/>
      <c r="V78" s="1019"/>
      <c r="W78" s="1062"/>
      <c r="X78" s="1019"/>
      <c r="Y78" s="1019"/>
      <c r="Z78" s="1062"/>
      <c r="AA78" s="1115"/>
      <c r="AB78" s="1062"/>
      <c r="AC78" s="1019"/>
      <c r="AD78" s="1069"/>
      <c r="AE78" s="1024"/>
      <c r="AF78" s="1025"/>
      <c r="AG78" s="1025"/>
      <c r="AH78" s="1025"/>
      <c r="AI78" s="1025"/>
      <c r="AJ78" s="1023">
        <f t="shared" ca="1" si="23"/>
        <v>0</v>
      </c>
      <c r="AK78" s="1026">
        <f t="shared" ca="1" si="24"/>
        <v>0</v>
      </c>
    </row>
    <row r="79" spans="1:37" ht="12" customHeight="1">
      <c r="A79" s="998" t="s">
        <v>614</v>
      </c>
      <c r="B79" s="873" t="s">
        <v>522</v>
      </c>
      <c r="D79" s="1011">
        <f>'Devel. Bud'!D52</f>
        <v>109062.5</v>
      </c>
      <c r="E79" s="1012"/>
      <c r="F79" s="1060"/>
      <c r="G79" s="1063"/>
      <c r="H79" s="1064"/>
      <c r="I79" s="1019"/>
      <c r="J79" s="1115"/>
      <c r="K79" s="1019"/>
      <c r="L79" s="1062"/>
      <c r="M79" s="1019"/>
      <c r="N79" s="1019"/>
      <c r="O79" s="1019"/>
      <c r="P79" s="1062"/>
      <c r="Q79" s="1115"/>
      <c r="R79" s="1062"/>
      <c r="S79" s="1115"/>
      <c r="T79" s="1019"/>
      <c r="U79" s="1062"/>
      <c r="V79" s="1019"/>
      <c r="W79" s="1062"/>
      <c r="X79" s="1019"/>
      <c r="Y79" s="1019"/>
      <c r="Z79" s="1062"/>
      <c r="AA79" s="1115"/>
      <c r="AB79" s="1062"/>
      <c r="AC79" s="1019"/>
      <c r="AD79" s="1069"/>
      <c r="AE79" s="1024"/>
      <c r="AF79" s="1025"/>
      <c r="AG79" s="1025"/>
      <c r="AH79" s="1025"/>
      <c r="AI79" s="1025"/>
      <c r="AJ79" s="1023">
        <f t="shared" si="23"/>
        <v>109062.5</v>
      </c>
      <c r="AK79" s="1026">
        <f t="shared" si="24"/>
        <v>0</v>
      </c>
    </row>
    <row r="80" spans="1:37">
      <c r="A80" s="998" t="s">
        <v>496</v>
      </c>
      <c r="B80" s="873" t="s">
        <v>522</v>
      </c>
      <c r="D80" s="1011">
        <f>'Devel. Bud'!D53</f>
        <v>8400</v>
      </c>
      <c r="E80" s="1012"/>
      <c r="F80" s="1060"/>
      <c r="G80" s="1063">
        <f>$D$80/24</f>
        <v>350</v>
      </c>
      <c r="H80" s="1064">
        <f t="shared" ref="H80:AD80" si="25">$D$80/24</f>
        <v>350</v>
      </c>
      <c r="I80" s="1019">
        <f t="shared" si="25"/>
        <v>350</v>
      </c>
      <c r="J80" s="1021">
        <f t="shared" si="25"/>
        <v>350</v>
      </c>
      <c r="K80" s="1019">
        <f t="shared" si="25"/>
        <v>350</v>
      </c>
      <c r="L80" s="1062">
        <f t="shared" si="25"/>
        <v>350</v>
      </c>
      <c r="M80" s="1019">
        <f t="shared" si="25"/>
        <v>350</v>
      </c>
      <c r="N80" s="1019">
        <f t="shared" si="25"/>
        <v>350</v>
      </c>
      <c r="O80" s="1019">
        <f t="shared" si="25"/>
        <v>350</v>
      </c>
      <c r="P80" s="1062">
        <f t="shared" si="25"/>
        <v>350</v>
      </c>
      <c r="Q80" s="1019">
        <f t="shared" si="25"/>
        <v>350</v>
      </c>
      <c r="R80" s="1062">
        <f t="shared" si="25"/>
        <v>350</v>
      </c>
      <c r="S80" s="1019">
        <f t="shared" si="25"/>
        <v>350</v>
      </c>
      <c r="T80" s="1019">
        <f t="shared" si="25"/>
        <v>350</v>
      </c>
      <c r="U80" s="1062">
        <f t="shared" si="25"/>
        <v>350</v>
      </c>
      <c r="V80" s="1019">
        <f t="shared" si="25"/>
        <v>350</v>
      </c>
      <c r="W80" s="1062">
        <f t="shared" si="25"/>
        <v>350</v>
      </c>
      <c r="X80" s="1019">
        <f t="shared" si="25"/>
        <v>350</v>
      </c>
      <c r="Y80" s="1019">
        <f t="shared" si="25"/>
        <v>350</v>
      </c>
      <c r="Z80" s="1062">
        <f t="shared" si="25"/>
        <v>350</v>
      </c>
      <c r="AA80" s="1019">
        <f t="shared" si="25"/>
        <v>350</v>
      </c>
      <c r="AB80" s="1062">
        <f t="shared" si="25"/>
        <v>350</v>
      </c>
      <c r="AC80" s="1019">
        <f t="shared" si="25"/>
        <v>350</v>
      </c>
      <c r="AD80" s="1021">
        <f t="shared" si="25"/>
        <v>350</v>
      </c>
      <c r="AE80" s="1024"/>
      <c r="AF80" s="1025"/>
      <c r="AG80" s="1025"/>
      <c r="AH80" s="1025"/>
      <c r="AI80" s="1025"/>
      <c r="AJ80" s="1023">
        <f t="shared" si="23"/>
        <v>0</v>
      </c>
      <c r="AK80" s="1026">
        <f t="shared" si="24"/>
        <v>0</v>
      </c>
    </row>
    <row r="81" spans="1:37">
      <c r="A81" s="998" t="s">
        <v>194</v>
      </c>
      <c r="B81" s="873" t="s">
        <v>522</v>
      </c>
      <c r="D81" s="1011">
        <f>'Devel. Bud'!D54</f>
        <v>50000</v>
      </c>
      <c r="E81" s="1012"/>
      <c r="F81" s="1060">
        <f>D81</f>
        <v>50000</v>
      </c>
      <c r="G81" s="1018"/>
      <c r="H81" s="1019"/>
      <c r="I81" s="1019"/>
      <c r="J81" s="1019"/>
      <c r="K81" s="1019"/>
      <c r="L81" s="1021"/>
      <c r="M81" s="1019"/>
      <c r="N81" s="1019"/>
      <c r="O81" s="1019"/>
      <c r="P81" s="1021"/>
      <c r="Q81" s="1021"/>
      <c r="R81" s="1019"/>
      <c r="S81" s="1021"/>
      <c r="T81" s="1019"/>
      <c r="U81" s="1021"/>
      <c r="V81" s="1019"/>
      <c r="W81" s="1021"/>
      <c r="X81" s="1019"/>
      <c r="Y81" s="1019"/>
      <c r="Z81" s="1021"/>
      <c r="AA81" s="1021"/>
      <c r="AB81" s="1019"/>
      <c r="AC81" s="1019"/>
      <c r="AD81" s="1023"/>
      <c r="AE81" s="1024"/>
      <c r="AF81" s="1025"/>
      <c r="AG81" s="1025"/>
      <c r="AH81" s="1025"/>
      <c r="AI81" s="1025"/>
      <c r="AJ81" s="1023">
        <f t="shared" si="23"/>
        <v>0</v>
      </c>
      <c r="AK81" s="1026">
        <f t="shared" si="24"/>
        <v>0</v>
      </c>
    </row>
    <row r="82" spans="1:37">
      <c r="A82" s="998" t="s">
        <v>398</v>
      </c>
      <c r="B82" s="873" t="s">
        <v>281</v>
      </c>
      <c r="D82" s="1011">
        <f ca="1">'Devel. Bud'!D55</f>
        <v>42808</v>
      </c>
      <c r="E82" s="1012"/>
      <c r="F82" s="1060">
        <f ca="1">D82</f>
        <v>42808</v>
      </c>
      <c r="G82" s="1018"/>
      <c r="H82" s="1019"/>
      <c r="I82" s="1019"/>
      <c r="J82" s="1019"/>
      <c r="K82" s="1019"/>
      <c r="L82" s="1021"/>
      <c r="M82" s="1019"/>
      <c r="N82" s="1019"/>
      <c r="O82" s="1019"/>
      <c r="P82" s="1021"/>
      <c r="Q82" s="1021"/>
      <c r="R82" s="1019"/>
      <c r="S82" s="1021"/>
      <c r="T82" s="1019"/>
      <c r="U82" s="1021"/>
      <c r="V82" s="1019"/>
      <c r="W82" s="1021"/>
      <c r="X82" s="1019"/>
      <c r="Y82" s="1019"/>
      <c r="Z82" s="1021"/>
      <c r="AA82" s="1021"/>
      <c r="AB82" s="1019"/>
      <c r="AC82" s="1019"/>
      <c r="AD82" s="1023"/>
      <c r="AE82" s="1024"/>
      <c r="AF82" s="1025"/>
      <c r="AG82" s="1025"/>
      <c r="AH82" s="1025"/>
      <c r="AI82" s="1025"/>
      <c r="AJ82" s="1023">
        <f t="shared" ca="1" si="23"/>
        <v>0</v>
      </c>
      <c r="AK82" s="1026">
        <f t="shared" ca="1" si="24"/>
        <v>0</v>
      </c>
    </row>
    <row r="83" spans="1:37">
      <c r="A83" s="998" t="s">
        <v>497</v>
      </c>
      <c r="B83" s="873" t="s">
        <v>281</v>
      </c>
      <c r="D83" s="1011">
        <f ca="1">'Devel. Bud'!D56</f>
        <v>245000</v>
      </c>
      <c r="E83" s="1012"/>
      <c r="F83" s="1060">
        <f ca="1">D83</f>
        <v>245000</v>
      </c>
      <c r="G83" s="1018"/>
      <c r="H83" s="1019"/>
      <c r="I83" s="1019"/>
      <c r="J83" s="1019"/>
      <c r="K83" s="1019"/>
      <c r="L83" s="1021"/>
      <c r="M83" s="1019"/>
      <c r="N83" s="1019"/>
      <c r="O83" s="1019"/>
      <c r="P83" s="1021"/>
      <c r="Q83" s="1021"/>
      <c r="R83" s="1019"/>
      <c r="S83" s="1021"/>
      <c r="T83" s="1019"/>
      <c r="U83" s="1021"/>
      <c r="V83" s="1019"/>
      <c r="W83" s="1021"/>
      <c r="X83" s="1019"/>
      <c r="Y83" s="1019"/>
      <c r="Z83" s="1021"/>
      <c r="AA83" s="1021"/>
      <c r="AB83" s="1019"/>
      <c r="AC83" s="1019"/>
      <c r="AD83" s="1023"/>
      <c r="AE83" s="1024"/>
      <c r="AF83" s="1025"/>
      <c r="AG83" s="1025"/>
      <c r="AH83" s="1025"/>
      <c r="AI83" s="1025"/>
      <c r="AJ83" s="1023">
        <f t="shared" ca="1" si="23"/>
        <v>0</v>
      </c>
      <c r="AK83" s="1026">
        <f t="shared" ca="1" si="24"/>
        <v>0</v>
      </c>
    </row>
    <row r="84" spans="1:37">
      <c r="A84" s="998" t="s">
        <v>498</v>
      </c>
      <c r="B84" s="873" t="s">
        <v>281</v>
      </c>
      <c r="D84" s="1011">
        <f ca="1">'Devel. Bud'!D57</f>
        <v>294000</v>
      </c>
      <c r="E84" s="1012"/>
      <c r="F84" s="1060">
        <f ca="1">D84</f>
        <v>294000</v>
      </c>
      <c r="G84" s="1018"/>
      <c r="H84" s="1019"/>
      <c r="I84" s="1019"/>
      <c r="J84" s="1019"/>
      <c r="K84" s="1019"/>
      <c r="L84" s="1021"/>
      <c r="M84" s="1019"/>
      <c r="N84" s="1019"/>
      <c r="O84" s="1019"/>
      <c r="P84" s="1021"/>
      <c r="Q84" s="1021"/>
      <c r="R84" s="1019"/>
      <c r="S84" s="1021"/>
      <c r="T84" s="1019"/>
      <c r="U84" s="1021"/>
      <c r="V84" s="1019"/>
      <c r="W84" s="1021"/>
      <c r="X84" s="1019"/>
      <c r="Y84" s="1019"/>
      <c r="Z84" s="1021"/>
      <c r="AA84" s="1021"/>
      <c r="AB84" s="1019"/>
      <c r="AC84" s="1019"/>
      <c r="AD84" s="1065"/>
      <c r="AE84" s="1024"/>
      <c r="AF84" s="1025"/>
      <c r="AG84" s="1025"/>
      <c r="AH84" s="1025"/>
      <c r="AI84" s="1025"/>
      <c r="AJ84" s="1023">
        <f t="shared" ref="AJ84" ca="1" si="26">D84-SUM(F84:AI84)</f>
        <v>0</v>
      </c>
      <c r="AK84" s="1026">
        <f t="shared" ca="1" si="24"/>
        <v>0</v>
      </c>
    </row>
    <row r="85" spans="1:37">
      <c r="A85" s="986" t="s">
        <v>66</v>
      </c>
      <c r="D85" s="987">
        <f ca="1">SUM(D77:D84)</f>
        <v>994270.5</v>
      </c>
      <c r="E85" s="1001"/>
      <c r="F85" s="1060"/>
      <c r="G85" s="1018"/>
      <c r="H85" s="1019"/>
      <c r="I85" s="1019"/>
      <c r="J85" s="1019"/>
      <c r="K85" s="1019"/>
      <c r="L85" s="1021"/>
      <c r="M85" s="1019"/>
      <c r="N85" s="1019"/>
      <c r="O85" s="1019"/>
      <c r="P85" s="1021"/>
      <c r="Q85" s="1021"/>
      <c r="R85" s="1019"/>
      <c r="S85" s="1021"/>
      <c r="T85" s="1019"/>
      <c r="U85" s="1021"/>
      <c r="V85" s="1019"/>
      <c r="W85" s="1021"/>
      <c r="X85" s="1019"/>
      <c r="Y85" s="1019"/>
      <c r="Z85" s="1021"/>
      <c r="AA85" s="1021"/>
      <c r="AB85" s="1019"/>
      <c r="AC85" s="1019"/>
      <c r="AD85" s="1065"/>
      <c r="AE85" s="1024"/>
      <c r="AF85" s="1025"/>
      <c r="AG85" s="1025"/>
      <c r="AH85" s="1025"/>
      <c r="AI85" s="1025"/>
      <c r="AJ85" s="1023"/>
      <c r="AK85" s="1026"/>
    </row>
    <row r="86" spans="1:37">
      <c r="A86" s="998"/>
      <c r="D86" s="1011"/>
      <c r="E86" s="1012"/>
      <c r="F86" s="1060"/>
      <c r="G86" s="1018"/>
      <c r="H86" s="1019"/>
      <c r="I86" s="1019"/>
      <c r="J86" s="1019"/>
      <c r="K86" s="1019"/>
      <c r="L86" s="1021"/>
      <c r="M86" s="1019"/>
      <c r="N86" s="1019"/>
      <c r="O86" s="1019"/>
      <c r="P86" s="1021"/>
      <c r="Q86" s="1021"/>
      <c r="R86" s="1019"/>
      <c r="S86" s="1021"/>
      <c r="T86" s="1019"/>
      <c r="U86" s="1021"/>
      <c r="V86" s="1019"/>
      <c r="W86" s="1021"/>
      <c r="X86" s="1019"/>
      <c r="Y86" s="1019"/>
      <c r="Z86" s="1021"/>
      <c r="AA86" s="1021"/>
      <c r="AB86" s="1019"/>
      <c r="AC86" s="1021"/>
      <c r="AD86" s="1065"/>
      <c r="AE86" s="1024"/>
      <c r="AF86" s="1025"/>
      <c r="AG86" s="1025"/>
      <c r="AH86" s="1025"/>
      <c r="AI86" s="1025"/>
      <c r="AJ86" s="1065"/>
      <c r="AK86" s="1026"/>
    </row>
    <row r="87" spans="1:37">
      <c r="A87" s="976" t="s">
        <v>80</v>
      </c>
      <c r="B87" s="1029"/>
      <c r="C87" s="1029"/>
      <c r="D87" s="1030"/>
      <c r="E87" s="1031"/>
      <c r="F87" s="1060"/>
      <c r="G87" s="1018"/>
      <c r="H87" s="1019"/>
      <c r="I87" s="1019"/>
      <c r="J87" s="1019"/>
      <c r="K87" s="1019"/>
      <c r="L87" s="1062"/>
      <c r="M87" s="1019"/>
      <c r="N87" s="1019"/>
      <c r="O87" s="1019"/>
      <c r="P87" s="1021"/>
      <c r="Q87" s="1021"/>
      <c r="R87" s="1019"/>
      <c r="S87" s="1021"/>
      <c r="T87" s="1019"/>
      <c r="U87" s="1021"/>
      <c r="V87" s="1019"/>
      <c r="W87" s="1021"/>
      <c r="X87" s="1019"/>
      <c r="Y87" s="1019"/>
      <c r="Z87" s="1021"/>
      <c r="AA87" s="1021"/>
      <c r="AB87" s="1019"/>
      <c r="AC87" s="1021"/>
      <c r="AD87" s="1065"/>
      <c r="AE87" s="1067"/>
      <c r="AF87" s="1025"/>
      <c r="AG87" s="1069"/>
      <c r="AH87" s="1025"/>
      <c r="AI87" s="1025"/>
      <c r="AJ87" s="1065"/>
      <c r="AK87" s="1026"/>
    </row>
    <row r="88" spans="1:37">
      <c r="A88" s="998" t="s">
        <v>232</v>
      </c>
      <c r="B88" s="873" t="s">
        <v>522</v>
      </c>
      <c r="D88" s="1011">
        <f ca="1">'Devel. Bud'!D64</f>
        <v>1666000</v>
      </c>
      <c r="E88" s="1012"/>
      <c r="F88" s="1060">
        <f t="shared" ref="F88:AI88" ca="1" si="27">F188</f>
        <v>15717.904958243364</v>
      </c>
      <c r="G88" s="1063">
        <f t="shared" ca="1" si="27"/>
        <v>17973.187614972412</v>
      </c>
      <c r="H88" s="1064">
        <f t="shared" ca="1" si="27"/>
        <v>20320.288556876065</v>
      </c>
      <c r="I88" s="1019">
        <f t="shared" ca="1" si="27"/>
        <v>23500.969732846261</v>
      </c>
      <c r="J88" s="1021">
        <f t="shared" ca="1" si="27"/>
        <v>26568.845547628047</v>
      </c>
      <c r="K88" s="1019">
        <f t="shared" ca="1" si="27"/>
        <v>27611.688233486526</v>
      </c>
      <c r="L88" s="1062">
        <f t="shared" ca="1" si="27"/>
        <v>29806.71473688367</v>
      </c>
      <c r="M88" s="1019">
        <f t="shared" ca="1" si="27"/>
        <v>33487.342702802212</v>
      </c>
      <c r="N88" s="1019">
        <f t="shared" ca="1" si="27"/>
        <v>37131.069530502835</v>
      </c>
      <c r="O88" s="1019">
        <f t="shared" ca="1" si="27"/>
        <v>38226.822498019086</v>
      </c>
      <c r="P88" s="1062">
        <f t="shared" ca="1" si="27"/>
        <v>39701.830031237485</v>
      </c>
      <c r="Q88" s="1019">
        <f t="shared" ca="1" si="27"/>
        <v>42988.879775399684</v>
      </c>
      <c r="R88" s="1062">
        <f t="shared" ca="1" si="27"/>
        <v>49488.430158412673</v>
      </c>
      <c r="S88" s="1019">
        <f t="shared" ca="1" si="27"/>
        <v>51847.29892845772</v>
      </c>
      <c r="T88" s="1019">
        <f t="shared" ca="1" si="27"/>
        <v>54305.803206524113</v>
      </c>
      <c r="U88" s="1062">
        <f t="shared" ca="1" si="27"/>
        <v>57028.575917147034</v>
      </c>
      <c r="V88" s="1019">
        <f t="shared" ca="1" si="27"/>
        <v>60581.948324380974</v>
      </c>
      <c r="W88" s="1062">
        <f t="shared" ca="1" si="27"/>
        <v>63141.910748147762</v>
      </c>
      <c r="X88" s="1019">
        <f t="shared" ca="1" si="27"/>
        <v>65125.925019060523</v>
      </c>
      <c r="Y88" s="1019">
        <f t="shared" ca="1" si="27"/>
        <v>67353.980632808336</v>
      </c>
      <c r="Z88" s="1062">
        <f t="shared" ca="1" si="27"/>
        <v>69346.901751216181</v>
      </c>
      <c r="AA88" s="1019">
        <f t="shared" ca="1" si="27"/>
        <v>71354.009428939593</v>
      </c>
      <c r="AB88" s="1062">
        <f t="shared" ca="1" si="27"/>
        <v>73369.515046737142</v>
      </c>
      <c r="AC88" s="1019">
        <f t="shared" ca="1" si="27"/>
        <v>76049.850185948089</v>
      </c>
      <c r="AD88" s="1021">
        <f t="shared" ca="1" si="27"/>
        <v>77988.113993802879</v>
      </c>
      <c r="AE88" s="1024">
        <f t="shared" ca="1" si="27"/>
        <v>78342.587273657045</v>
      </c>
      <c r="AF88" s="1025">
        <f t="shared" ca="1" si="27"/>
        <v>78698.543705309785</v>
      </c>
      <c r="AG88" s="1025">
        <f t="shared" ca="1" si="27"/>
        <v>79054.040168673731</v>
      </c>
      <c r="AH88" s="1025">
        <f t="shared" ca="1" si="27"/>
        <v>79407.125413452013</v>
      </c>
      <c r="AI88" s="1025">
        <f t="shared" ca="1" si="27"/>
        <v>79761.688002350696</v>
      </c>
      <c r="AJ88" s="1023">
        <f ca="1">D88-SUM(F88:AI88)</f>
        <v>80718.208176076179</v>
      </c>
      <c r="AK88" s="1026">
        <f t="shared" ref="AK88:AK102" ca="1" si="28">SUM(F88:AJ88)-D88</f>
        <v>0</v>
      </c>
    </row>
    <row r="89" spans="1:37">
      <c r="A89" s="998" t="s">
        <v>349</v>
      </c>
      <c r="B89" s="938" t="s">
        <v>608</v>
      </c>
      <c r="D89" s="1011">
        <f>'Devel. Bud'!D65</f>
        <v>165000</v>
      </c>
      <c r="E89" s="1012"/>
      <c r="F89" s="1060">
        <f t="shared" ref="F89:AI89" si="29">F176</f>
        <v>0</v>
      </c>
      <c r="G89" s="1063">
        <f t="shared" si="29"/>
        <v>383.33333333333331</v>
      </c>
      <c r="H89" s="1064">
        <f t="shared" si="29"/>
        <v>862.5</v>
      </c>
      <c r="I89" s="1019">
        <f t="shared" si="29"/>
        <v>1533.3333333333333</v>
      </c>
      <c r="J89" s="1021">
        <f t="shared" si="29"/>
        <v>1916.6666666666667</v>
      </c>
      <c r="K89" s="1019">
        <f t="shared" si="29"/>
        <v>2085.7843137254904</v>
      </c>
      <c r="L89" s="1062">
        <f t="shared" si="29"/>
        <v>2424.0196078431377</v>
      </c>
      <c r="M89" s="1019">
        <f t="shared" si="29"/>
        <v>2931.372549019608</v>
      </c>
      <c r="N89" s="1019">
        <f t="shared" si="29"/>
        <v>3438.7254901960787</v>
      </c>
      <c r="O89" s="1019">
        <f t="shared" si="29"/>
        <v>3607.8431372549021</v>
      </c>
      <c r="P89" s="1062">
        <f t="shared" si="29"/>
        <v>3833.3333333333335</v>
      </c>
      <c r="Q89" s="1019">
        <f t="shared" si="29"/>
        <v>4509.8039215686276</v>
      </c>
      <c r="R89" s="1062">
        <f t="shared" si="29"/>
        <v>5411.7647058823522</v>
      </c>
      <c r="S89" s="1019">
        <f t="shared" si="29"/>
        <v>5862.7450980392159</v>
      </c>
      <c r="T89" s="1019">
        <f t="shared" si="29"/>
        <v>6133.3333333333321</v>
      </c>
      <c r="U89" s="1062">
        <f t="shared" si="29"/>
        <v>6584.3137254901958</v>
      </c>
      <c r="V89" s="1019">
        <f t="shared" si="29"/>
        <v>7305.8823529411757</v>
      </c>
      <c r="W89" s="1062">
        <f t="shared" si="29"/>
        <v>7666.666666666667</v>
      </c>
      <c r="X89" s="1019">
        <f t="shared" si="29"/>
        <v>7966.666666666667</v>
      </c>
      <c r="Y89" s="1019">
        <f t="shared" si="29"/>
        <v>8266.6666666666661</v>
      </c>
      <c r="Z89" s="1062">
        <f t="shared" si="29"/>
        <v>8566.6666666666661</v>
      </c>
      <c r="AA89" s="1019">
        <f t="shared" si="29"/>
        <v>8866.6666666666661</v>
      </c>
      <c r="AB89" s="1062">
        <f t="shared" si="29"/>
        <v>9166.6666666666661</v>
      </c>
      <c r="AC89" s="1019">
        <f t="shared" si="29"/>
        <v>9166.6666666666661</v>
      </c>
      <c r="AD89" s="1021">
        <f t="shared" si="29"/>
        <v>9166.6666666666661</v>
      </c>
      <c r="AE89" s="1024">
        <f t="shared" si="29"/>
        <v>9166.6666666666661</v>
      </c>
      <c r="AF89" s="1025">
        <f t="shared" si="29"/>
        <v>9166.6666666666661</v>
      </c>
      <c r="AG89" s="1025">
        <f t="shared" si="29"/>
        <v>9166.6666666666661</v>
      </c>
      <c r="AH89" s="1025">
        <f t="shared" si="29"/>
        <v>9166.6666666666661</v>
      </c>
      <c r="AI89" s="1025">
        <f t="shared" si="29"/>
        <v>9166.6666666666661</v>
      </c>
      <c r="AJ89" s="1023">
        <f>D89-SUM(F89:AI89)</f>
        <v>-8491.4215686274401</v>
      </c>
      <c r="AK89" s="1026">
        <f t="shared" si="28"/>
        <v>0</v>
      </c>
    </row>
    <row r="90" spans="1:37">
      <c r="A90" s="998" t="s">
        <v>154</v>
      </c>
      <c r="B90" s="873" t="s">
        <v>522</v>
      </c>
      <c r="D90" s="1011">
        <f>'Devel. Bud'!D66</f>
        <v>675000</v>
      </c>
      <c r="E90" s="1012"/>
      <c r="F90" s="1060">
        <f>D90</f>
        <v>675000</v>
      </c>
      <c r="G90" s="1063"/>
      <c r="H90" s="1019"/>
      <c r="I90" s="1062"/>
      <c r="J90" s="1019"/>
      <c r="K90" s="1019"/>
      <c r="L90" s="1062"/>
      <c r="M90" s="1019"/>
      <c r="N90" s="1019"/>
      <c r="O90" s="1019"/>
      <c r="P90" s="1021"/>
      <c r="Q90" s="1062"/>
      <c r="R90" s="1019"/>
      <c r="S90" s="1019"/>
      <c r="T90" s="1019"/>
      <c r="U90" s="1021"/>
      <c r="V90" s="1062"/>
      <c r="W90" s="1019"/>
      <c r="X90" s="1019"/>
      <c r="Y90" s="1019"/>
      <c r="Z90" s="1021"/>
      <c r="AA90" s="1021"/>
      <c r="AB90" s="1019"/>
      <c r="AC90" s="1021"/>
      <c r="AD90" s="1065"/>
      <c r="AE90" s="1067"/>
      <c r="AF90" s="1025"/>
      <c r="AG90" s="1069"/>
      <c r="AH90" s="1025"/>
      <c r="AI90" s="1025"/>
      <c r="AJ90" s="1065">
        <f t="shared" ref="AJ90:AJ102" si="30">D90-SUM(F90:AI90)</f>
        <v>0</v>
      </c>
      <c r="AK90" s="1026">
        <f t="shared" si="28"/>
        <v>0</v>
      </c>
    </row>
    <row r="91" spans="1:37">
      <c r="A91" s="998" t="s">
        <v>488</v>
      </c>
      <c r="B91" s="873" t="s">
        <v>522</v>
      </c>
      <c r="D91" s="1011">
        <f>'Devel. Bud'!D67</f>
        <v>450000</v>
      </c>
      <c r="E91" s="1012"/>
      <c r="F91" s="1060">
        <f>D91/2</f>
        <v>225000</v>
      </c>
      <c r="G91" s="1063">
        <f>($D$91-SUM($F$91:F91))*25%</f>
        <v>56250</v>
      </c>
      <c r="H91" s="1019"/>
      <c r="I91" s="1062"/>
      <c r="J91" s="1019"/>
      <c r="K91" s="1019"/>
      <c r="L91" s="1062">
        <f>($D$91-SUM($F$91:K91))*25%</f>
        <v>42187.5</v>
      </c>
      <c r="M91" s="1019"/>
      <c r="N91" s="1019"/>
      <c r="O91" s="1019"/>
      <c r="P91" s="1021">
        <f>($D$91-SUM($F$91:O91))*25%</f>
        <v>31640.625</v>
      </c>
      <c r="Q91" s="1062"/>
      <c r="R91" s="1019"/>
      <c r="S91" s="1019"/>
      <c r="T91" s="1019"/>
      <c r="U91" s="1021">
        <f>($D$91-SUM($F$91:T91))*25%</f>
        <v>23730.46875</v>
      </c>
      <c r="V91" s="1062"/>
      <c r="W91" s="1019">
        <f>D91-SUM(F91:V91)</f>
        <v>71191.40625</v>
      </c>
      <c r="X91" s="1019"/>
      <c r="Y91" s="1019"/>
      <c r="Z91" s="1021"/>
      <c r="AA91" s="1021"/>
      <c r="AB91" s="1019"/>
      <c r="AC91" s="1021"/>
      <c r="AD91" s="1065"/>
      <c r="AE91" s="1067"/>
      <c r="AF91" s="1025"/>
      <c r="AG91" s="1069"/>
      <c r="AH91" s="1025"/>
      <c r="AI91" s="1025"/>
      <c r="AJ91" s="1065"/>
      <c r="AK91" s="1026">
        <f t="shared" si="28"/>
        <v>0</v>
      </c>
    </row>
    <row r="92" spans="1:37">
      <c r="A92" s="998" t="s">
        <v>489</v>
      </c>
      <c r="B92" s="873" t="s">
        <v>522</v>
      </c>
      <c r="D92" s="1011">
        <f>'Devel. Bud'!D68</f>
        <v>850000</v>
      </c>
      <c r="E92" s="1012"/>
      <c r="F92" s="1060">
        <v>130000</v>
      </c>
      <c r="G92" s="1063">
        <f>($D$92-SUM($F$92:F92))/24</f>
        <v>30000</v>
      </c>
      <c r="H92" s="1019">
        <f>G92</f>
        <v>30000</v>
      </c>
      <c r="I92" s="1062">
        <f t="shared" ref="I92:AD92" si="31">H92</f>
        <v>30000</v>
      </c>
      <c r="J92" s="1019">
        <f t="shared" si="31"/>
        <v>30000</v>
      </c>
      <c r="K92" s="1019">
        <f t="shared" si="31"/>
        <v>30000</v>
      </c>
      <c r="L92" s="1062">
        <f t="shared" si="31"/>
        <v>30000</v>
      </c>
      <c r="M92" s="1019">
        <f t="shared" si="31"/>
        <v>30000</v>
      </c>
      <c r="N92" s="1019">
        <f t="shared" si="31"/>
        <v>30000</v>
      </c>
      <c r="O92" s="1019">
        <f t="shared" si="31"/>
        <v>30000</v>
      </c>
      <c r="P92" s="1062">
        <f t="shared" si="31"/>
        <v>30000</v>
      </c>
      <c r="Q92" s="1019">
        <f t="shared" si="31"/>
        <v>30000</v>
      </c>
      <c r="R92" s="1019">
        <f t="shared" si="31"/>
        <v>30000</v>
      </c>
      <c r="S92" s="1019">
        <f t="shared" si="31"/>
        <v>30000</v>
      </c>
      <c r="T92" s="1019">
        <f t="shared" si="31"/>
        <v>30000</v>
      </c>
      <c r="U92" s="1021">
        <f t="shared" si="31"/>
        <v>30000</v>
      </c>
      <c r="V92" s="1062">
        <f t="shared" si="31"/>
        <v>30000</v>
      </c>
      <c r="W92" s="1019">
        <f t="shared" si="31"/>
        <v>30000</v>
      </c>
      <c r="X92" s="1019">
        <f t="shared" si="31"/>
        <v>30000</v>
      </c>
      <c r="Y92" s="1019">
        <f t="shared" si="31"/>
        <v>30000</v>
      </c>
      <c r="Z92" s="1062">
        <f t="shared" si="31"/>
        <v>30000</v>
      </c>
      <c r="AA92" s="1019">
        <f t="shared" si="31"/>
        <v>30000</v>
      </c>
      <c r="AB92" s="1021">
        <f t="shared" si="31"/>
        <v>30000</v>
      </c>
      <c r="AC92" s="1021">
        <f t="shared" si="31"/>
        <v>30000</v>
      </c>
      <c r="AD92" s="1021">
        <f t="shared" si="31"/>
        <v>30000</v>
      </c>
      <c r="AE92" s="1063"/>
      <c r="AF92" s="1019"/>
      <c r="AG92" s="1062"/>
      <c r="AH92" s="1019"/>
      <c r="AI92" s="1019"/>
      <c r="AJ92" s="1065"/>
      <c r="AK92" s="1026">
        <f t="shared" si="28"/>
        <v>0</v>
      </c>
    </row>
    <row r="93" spans="1:37">
      <c r="A93" s="998" t="s">
        <v>136</v>
      </c>
      <c r="B93" s="873" t="s">
        <v>522</v>
      </c>
      <c r="D93" s="1011">
        <f>'Devel. Bud'!D69</f>
        <v>100000</v>
      </c>
      <c r="E93" s="1012"/>
      <c r="F93" s="1060">
        <f>D93</f>
        <v>100000</v>
      </c>
      <c r="G93" s="1018"/>
      <c r="H93" s="1019"/>
      <c r="I93" s="1019"/>
      <c r="J93" s="1019"/>
      <c r="K93" s="1019"/>
      <c r="L93" s="1062"/>
      <c r="M93" s="1019"/>
      <c r="N93" s="1019"/>
      <c r="O93" s="1019"/>
      <c r="P93" s="1021"/>
      <c r="Q93" s="1021"/>
      <c r="R93" s="1019"/>
      <c r="S93" s="1021"/>
      <c r="T93" s="1019"/>
      <c r="U93" s="1021"/>
      <c r="V93" s="1021"/>
      <c r="W93" s="1021"/>
      <c r="X93" s="1019"/>
      <c r="Y93" s="1019"/>
      <c r="Z93" s="1021"/>
      <c r="AA93" s="1021"/>
      <c r="AB93" s="1019"/>
      <c r="AC93" s="1021"/>
      <c r="AD93" s="1065">
        <f t="shared" si="15"/>
        <v>0</v>
      </c>
      <c r="AE93" s="1067"/>
      <c r="AF93" s="1025"/>
      <c r="AG93" s="1069"/>
      <c r="AH93" s="1025"/>
      <c r="AI93" s="1025"/>
      <c r="AJ93" s="1065">
        <f t="shared" si="30"/>
        <v>0</v>
      </c>
      <c r="AK93" s="1026">
        <f t="shared" si="28"/>
        <v>0</v>
      </c>
    </row>
    <row r="94" spans="1:37">
      <c r="A94" s="998" t="s">
        <v>122</v>
      </c>
      <c r="B94" s="873" t="s">
        <v>522</v>
      </c>
      <c r="D94" s="1011">
        <f>'Devel. Bud'!D70</f>
        <v>68000</v>
      </c>
      <c r="E94" s="1012"/>
      <c r="F94" s="1060">
        <f>D94</f>
        <v>68000</v>
      </c>
      <c r="G94" s="1018"/>
      <c r="H94" s="1019"/>
      <c r="I94" s="1019"/>
      <c r="J94" s="1019"/>
      <c r="K94" s="1019"/>
      <c r="L94" s="1062"/>
      <c r="M94" s="1019"/>
      <c r="N94" s="1019"/>
      <c r="O94" s="1019"/>
      <c r="P94" s="1021"/>
      <c r="Q94" s="1019"/>
      <c r="R94" s="1019"/>
      <c r="S94" s="1019"/>
      <c r="T94" s="1019"/>
      <c r="U94" s="1021"/>
      <c r="V94" s="1019"/>
      <c r="W94" s="1019"/>
      <c r="X94" s="1019"/>
      <c r="Y94" s="1019"/>
      <c r="Z94" s="1021"/>
      <c r="AA94" s="1019"/>
      <c r="AB94" s="1019"/>
      <c r="AC94" s="1021"/>
      <c r="AD94" s="1065">
        <f t="shared" si="15"/>
        <v>0</v>
      </c>
      <c r="AE94" s="1067"/>
      <c r="AF94" s="1025"/>
      <c r="AG94" s="1069"/>
      <c r="AH94" s="1025"/>
      <c r="AI94" s="1025"/>
      <c r="AJ94" s="1065">
        <f t="shared" si="30"/>
        <v>0</v>
      </c>
      <c r="AK94" s="1026">
        <f t="shared" si="28"/>
        <v>0</v>
      </c>
    </row>
    <row r="95" spans="1:37">
      <c r="A95" s="998" t="s">
        <v>333</v>
      </c>
      <c r="B95" s="873" t="s">
        <v>522</v>
      </c>
      <c r="D95" s="1011">
        <f>'Devel. Bud'!D71</f>
        <v>25000</v>
      </c>
      <c r="E95" s="1012"/>
      <c r="F95" s="1060">
        <f>D95/2</f>
        <v>12500</v>
      </c>
      <c r="G95" s="1018"/>
      <c r="H95" s="1019"/>
      <c r="I95" s="1019"/>
      <c r="J95" s="1019"/>
      <c r="K95" s="1019"/>
      <c r="L95" s="1062"/>
      <c r="M95" s="1019">
        <f>F95</f>
        <v>12500</v>
      </c>
      <c r="N95" s="1019"/>
      <c r="O95" s="1019"/>
      <c r="P95" s="1021"/>
      <c r="Q95" s="1019"/>
      <c r="R95" s="1019"/>
      <c r="S95" s="1019"/>
      <c r="T95" s="1019"/>
      <c r="U95" s="1021"/>
      <c r="V95" s="1019"/>
      <c r="W95" s="1019"/>
      <c r="X95" s="1019"/>
      <c r="Y95" s="1019"/>
      <c r="Z95" s="1021"/>
      <c r="AA95" s="1019"/>
      <c r="AB95" s="1019"/>
      <c r="AC95" s="1021"/>
      <c r="AD95" s="1065">
        <f t="shared" si="15"/>
        <v>0</v>
      </c>
      <c r="AE95" s="1067"/>
      <c r="AF95" s="1025"/>
      <c r="AG95" s="1069"/>
      <c r="AH95" s="1025"/>
      <c r="AI95" s="1025"/>
      <c r="AJ95" s="1065">
        <f t="shared" si="30"/>
        <v>0</v>
      </c>
      <c r="AK95" s="1026">
        <f t="shared" si="28"/>
        <v>0</v>
      </c>
    </row>
    <row r="96" spans="1:37">
      <c r="A96" s="998" t="s">
        <v>402</v>
      </c>
      <c r="B96" s="873" t="s">
        <v>522</v>
      </c>
      <c r="D96" s="1011">
        <f>'Devel. Bud'!D72</f>
        <v>50000</v>
      </c>
      <c r="E96" s="1012"/>
      <c r="F96" s="1060">
        <f>D96/5</f>
        <v>10000</v>
      </c>
      <c r="G96" s="1018"/>
      <c r="H96" s="1019"/>
      <c r="I96" s="1019"/>
      <c r="J96" s="1019"/>
      <c r="K96" s="1019"/>
      <c r="L96" s="1062"/>
      <c r="M96" s="1019">
        <f t="shared" ref="M96:X96" si="32">$D$96/24</f>
        <v>2083.3333333333335</v>
      </c>
      <c r="N96" s="1019">
        <f t="shared" si="32"/>
        <v>2083.3333333333335</v>
      </c>
      <c r="O96" s="1019">
        <f t="shared" si="32"/>
        <v>2083.3333333333335</v>
      </c>
      <c r="P96" s="1021">
        <f t="shared" si="32"/>
        <v>2083.3333333333335</v>
      </c>
      <c r="Q96" s="1019">
        <f t="shared" si="32"/>
        <v>2083.3333333333335</v>
      </c>
      <c r="R96" s="1019">
        <f t="shared" si="32"/>
        <v>2083.3333333333335</v>
      </c>
      <c r="S96" s="1019">
        <f t="shared" si="32"/>
        <v>2083.3333333333335</v>
      </c>
      <c r="T96" s="1019">
        <f t="shared" si="32"/>
        <v>2083.3333333333335</v>
      </c>
      <c r="U96" s="1021">
        <f t="shared" si="32"/>
        <v>2083.3333333333335</v>
      </c>
      <c r="V96" s="1019">
        <f t="shared" si="32"/>
        <v>2083.3333333333335</v>
      </c>
      <c r="W96" s="1019">
        <f t="shared" si="32"/>
        <v>2083.3333333333335</v>
      </c>
      <c r="X96" s="1019">
        <f t="shared" si="32"/>
        <v>2083.3333333333335</v>
      </c>
      <c r="Y96" s="1019"/>
      <c r="Z96" s="1021"/>
      <c r="AA96" s="1019"/>
      <c r="AB96" s="1019"/>
      <c r="AC96" s="1021"/>
      <c r="AD96" s="1065">
        <f t="shared" si="15"/>
        <v>15000</v>
      </c>
      <c r="AE96" s="1067"/>
      <c r="AF96" s="1025"/>
      <c r="AG96" s="1069"/>
      <c r="AH96" s="1025"/>
      <c r="AI96" s="1025"/>
      <c r="AJ96" s="1065">
        <f t="shared" si="30"/>
        <v>0</v>
      </c>
      <c r="AK96" s="1026">
        <f t="shared" si="28"/>
        <v>0</v>
      </c>
    </row>
    <row r="97" spans="1:37" ht="15">
      <c r="A97" s="998" t="s">
        <v>403</v>
      </c>
      <c r="B97" s="873" t="s">
        <v>522</v>
      </c>
      <c r="D97" s="1011">
        <f>'Devel. Bud'!D73</f>
        <v>0</v>
      </c>
      <c r="E97" s="1012"/>
      <c r="F97" s="1060"/>
      <c r="G97" s="1021">
        <f>$D$97/15</f>
        <v>0</v>
      </c>
      <c r="H97" s="1032"/>
      <c r="I97" s="1032"/>
      <c r="J97" s="1032"/>
      <c r="K97" s="1032"/>
      <c r="L97" s="1073"/>
      <c r="M97" s="1032"/>
      <c r="N97" s="1032"/>
      <c r="O97" s="1032"/>
      <c r="P97" s="1066"/>
      <c r="Q97" s="1032"/>
      <c r="R97" s="1019">
        <f>$D$97/15</f>
        <v>0</v>
      </c>
      <c r="S97" s="1032"/>
      <c r="T97" s="1032"/>
      <c r="U97" s="1066"/>
      <c r="V97" s="1032"/>
      <c r="W97" s="1032"/>
      <c r="X97" s="1032"/>
      <c r="Y97" s="1032"/>
      <c r="Z97" s="1066"/>
      <c r="AA97" s="1032"/>
      <c r="AB97" s="1032"/>
      <c r="AC97" s="1066"/>
      <c r="AD97" s="1021">
        <f>$D$97/15</f>
        <v>0</v>
      </c>
      <c r="AE97" s="1033"/>
      <c r="AF97" s="1032"/>
      <c r="AG97" s="1062"/>
      <c r="AH97" s="1019"/>
      <c r="AI97" s="1019"/>
      <c r="AJ97" s="1065">
        <f t="shared" si="30"/>
        <v>0</v>
      </c>
      <c r="AK97" s="1026">
        <f t="shared" si="28"/>
        <v>0</v>
      </c>
    </row>
    <row r="98" spans="1:37">
      <c r="A98" s="998" t="s">
        <v>211</v>
      </c>
      <c r="B98" s="873" t="s">
        <v>522</v>
      </c>
      <c r="D98" s="1011">
        <f>'Devel. Bud'!D74</f>
        <v>200000</v>
      </c>
      <c r="E98" s="1012"/>
      <c r="F98" s="1060">
        <f>D98*20%</f>
        <v>40000</v>
      </c>
      <c r="G98" s="1018">
        <f>($D$98-$F$98)/30</f>
        <v>5333.333333333333</v>
      </c>
      <c r="H98" s="1019">
        <f t="shared" ref="H98:AI98" si="33">($D$98-$F$98)/30</f>
        <v>5333.333333333333</v>
      </c>
      <c r="I98" s="1019">
        <f t="shared" si="33"/>
        <v>5333.333333333333</v>
      </c>
      <c r="J98" s="1019">
        <f t="shared" si="33"/>
        <v>5333.333333333333</v>
      </c>
      <c r="K98" s="1019">
        <f t="shared" si="33"/>
        <v>5333.333333333333</v>
      </c>
      <c r="L98" s="1062">
        <f t="shared" si="33"/>
        <v>5333.333333333333</v>
      </c>
      <c r="M98" s="1019">
        <f t="shared" si="33"/>
        <v>5333.333333333333</v>
      </c>
      <c r="N98" s="1019">
        <f t="shared" si="33"/>
        <v>5333.333333333333</v>
      </c>
      <c r="O98" s="1019">
        <f t="shared" si="33"/>
        <v>5333.333333333333</v>
      </c>
      <c r="P98" s="1021">
        <f t="shared" si="33"/>
        <v>5333.333333333333</v>
      </c>
      <c r="Q98" s="1021">
        <f t="shared" si="33"/>
        <v>5333.333333333333</v>
      </c>
      <c r="R98" s="1019">
        <f t="shared" si="33"/>
        <v>5333.333333333333</v>
      </c>
      <c r="S98" s="1021">
        <f t="shared" si="33"/>
        <v>5333.333333333333</v>
      </c>
      <c r="T98" s="1019">
        <f t="shared" si="33"/>
        <v>5333.333333333333</v>
      </c>
      <c r="U98" s="1021">
        <f t="shared" si="33"/>
        <v>5333.333333333333</v>
      </c>
      <c r="V98" s="1019">
        <f t="shared" si="33"/>
        <v>5333.333333333333</v>
      </c>
      <c r="W98" s="1021">
        <f t="shared" si="33"/>
        <v>5333.333333333333</v>
      </c>
      <c r="X98" s="1019">
        <f t="shared" si="33"/>
        <v>5333.333333333333</v>
      </c>
      <c r="Y98" s="1019">
        <f t="shared" si="33"/>
        <v>5333.333333333333</v>
      </c>
      <c r="Z98" s="1021">
        <f t="shared" si="33"/>
        <v>5333.333333333333</v>
      </c>
      <c r="AA98" s="1021">
        <f t="shared" si="33"/>
        <v>5333.333333333333</v>
      </c>
      <c r="AB98" s="1019">
        <f t="shared" si="33"/>
        <v>5333.333333333333</v>
      </c>
      <c r="AC98" s="1021">
        <f t="shared" si="33"/>
        <v>5333.333333333333</v>
      </c>
      <c r="AD98" s="1020">
        <f t="shared" si="33"/>
        <v>5333.333333333333</v>
      </c>
      <c r="AE98" s="1063">
        <f t="shared" si="33"/>
        <v>5333.333333333333</v>
      </c>
      <c r="AF98" s="1019">
        <f t="shared" si="33"/>
        <v>5333.333333333333</v>
      </c>
      <c r="AG98" s="1062">
        <f t="shared" si="33"/>
        <v>5333.333333333333</v>
      </c>
      <c r="AH98" s="1019">
        <f t="shared" si="33"/>
        <v>5333.333333333333</v>
      </c>
      <c r="AI98" s="1019">
        <f t="shared" si="33"/>
        <v>5333.333333333333</v>
      </c>
      <c r="AJ98" s="1065">
        <f t="shared" si="30"/>
        <v>5333.3333333332848</v>
      </c>
      <c r="AK98" s="1026">
        <f t="shared" si="28"/>
        <v>0</v>
      </c>
    </row>
    <row r="99" spans="1:37">
      <c r="A99" s="998" t="s">
        <v>337</v>
      </c>
      <c r="B99" s="873" t="s">
        <v>522</v>
      </c>
      <c r="D99" s="1011">
        <f ca="1">'Source by Use'!E66</f>
        <v>9317.7770534167066</v>
      </c>
      <c r="E99" s="1012"/>
      <c r="F99" s="1060"/>
      <c r="G99" s="1018"/>
      <c r="H99" s="1019"/>
      <c r="I99" s="1019"/>
      <c r="J99" s="1019"/>
      <c r="K99" s="1019"/>
      <c r="L99" s="1062"/>
      <c r="M99" s="1019"/>
      <c r="N99" s="1019"/>
      <c r="O99" s="1019"/>
      <c r="P99" s="1021"/>
      <c r="Q99" s="1021"/>
      <c r="R99" s="1019"/>
      <c r="S99" s="1021"/>
      <c r="T99" s="1019"/>
      <c r="U99" s="1021"/>
      <c r="V99" s="1019"/>
      <c r="W99" s="1021"/>
      <c r="X99" s="1019"/>
      <c r="Y99" s="1019"/>
      <c r="Z99" s="1021"/>
      <c r="AA99" s="1021">
        <f t="shared" ref="AA99:AF99" ca="1" si="34">$D$99*15%</f>
        <v>1397.6665580125059</v>
      </c>
      <c r="AB99" s="1019">
        <f t="shared" ca="1" si="34"/>
        <v>1397.6665580125059</v>
      </c>
      <c r="AC99" s="1021">
        <f t="shared" ca="1" si="34"/>
        <v>1397.6665580125059</v>
      </c>
      <c r="AD99" s="1020">
        <f t="shared" ca="1" si="34"/>
        <v>1397.6665580125059</v>
      </c>
      <c r="AE99" s="1063">
        <f t="shared" ca="1" si="34"/>
        <v>1397.6665580125059</v>
      </c>
      <c r="AF99" s="1019">
        <f t="shared" ca="1" si="34"/>
        <v>1397.6665580125059</v>
      </c>
      <c r="AG99" s="1069">
        <f ca="1">D99-SUM(F99:AF99)</f>
        <v>931.7777053416703</v>
      </c>
      <c r="AH99" s="1025"/>
      <c r="AI99" s="1025"/>
      <c r="AJ99" s="1065">
        <f t="shared" ca="1" si="30"/>
        <v>0</v>
      </c>
      <c r="AK99" s="1026">
        <f t="shared" ca="1" si="28"/>
        <v>0</v>
      </c>
    </row>
    <row r="100" spans="1:37">
      <c r="A100" s="998" t="s">
        <v>337</v>
      </c>
      <c r="B100" s="873" t="s">
        <v>281</v>
      </c>
      <c r="D100" s="1011">
        <f ca="1">'Source by Use'!J66</f>
        <v>5682.2229465832934</v>
      </c>
      <c r="E100" s="1012"/>
      <c r="F100" s="1060"/>
      <c r="G100" s="1018"/>
      <c r="H100" s="1019"/>
      <c r="I100" s="1019"/>
      <c r="J100" s="1019"/>
      <c r="K100" s="1019"/>
      <c r="L100" s="1062"/>
      <c r="M100" s="1019"/>
      <c r="N100" s="1019"/>
      <c r="O100" s="1019"/>
      <c r="P100" s="1115"/>
      <c r="Q100" s="1115"/>
      <c r="R100" s="1019"/>
      <c r="S100" s="1115"/>
      <c r="T100" s="1019"/>
      <c r="U100" s="1115"/>
      <c r="V100" s="1019"/>
      <c r="W100" s="1115"/>
      <c r="X100" s="1019"/>
      <c r="Y100" s="1019"/>
      <c r="Z100" s="1115"/>
      <c r="AA100" s="1021">
        <f ca="1">$D$100*15%</f>
        <v>852.33344198749398</v>
      </c>
      <c r="AB100" s="1021">
        <f t="shared" ref="AB100:AF100" ca="1" si="35">$D$100*15%</f>
        <v>852.33344198749398</v>
      </c>
      <c r="AC100" s="1021">
        <f t="shared" ca="1" si="35"/>
        <v>852.33344198749398</v>
      </c>
      <c r="AD100" s="1022">
        <f t="shared" ca="1" si="35"/>
        <v>852.33344198749398</v>
      </c>
      <c r="AE100" s="1021">
        <f t="shared" ca="1" si="35"/>
        <v>852.33344198749398</v>
      </c>
      <c r="AF100" s="1021">
        <f t="shared" ca="1" si="35"/>
        <v>852.33344198749398</v>
      </c>
      <c r="AG100" s="1069">
        <f ca="1">D100-SUM(F100:AF100)</f>
        <v>568.2222946583297</v>
      </c>
      <c r="AH100" s="1025"/>
      <c r="AI100" s="1025"/>
      <c r="AJ100" s="1065">
        <f t="shared" ref="AJ100" ca="1" si="36">D100-SUM(F100:AI100)</f>
        <v>0</v>
      </c>
      <c r="AK100" s="1026">
        <f t="shared" ref="AK100" ca="1" si="37">SUM(F100:AJ100)-D100</f>
        <v>0</v>
      </c>
    </row>
    <row r="101" spans="1:37">
      <c r="A101" s="998" t="s">
        <v>338</v>
      </c>
      <c r="B101" s="873" t="s">
        <v>281</v>
      </c>
      <c r="D101" s="1011">
        <f>'Devel. Bud'!D76</f>
        <v>136000</v>
      </c>
      <c r="E101" s="1012"/>
      <c r="F101" s="1060"/>
      <c r="G101" s="1018">
        <f>$D$101*25%</f>
        <v>34000</v>
      </c>
      <c r="H101" s="1019">
        <f>$D$101*25%</f>
        <v>34000</v>
      </c>
      <c r="I101" s="1019">
        <f>$D$101*25%</f>
        <v>34000</v>
      </c>
      <c r="J101" s="1019">
        <f>$D$101*25%</f>
        <v>34000</v>
      </c>
      <c r="K101" s="1019"/>
      <c r="L101" s="1062"/>
      <c r="M101" s="1019"/>
      <c r="N101" s="1019"/>
      <c r="O101" s="1019"/>
      <c r="P101" s="1021"/>
      <c r="Q101" s="1021"/>
      <c r="R101" s="1019"/>
      <c r="S101" s="1021"/>
      <c r="T101" s="1019"/>
      <c r="U101" s="1021"/>
      <c r="V101" s="1019"/>
      <c r="W101" s="1021"/>
      <c r="X101" s="1019"/>
      <c r="Y101" s="1019"/>
      <c r="Z101" s="1021"/>
      <c r="AA101" s="1021"/>
      <c r="AB101" s="1019"/>
      <c r="AC101" s="1019"/>
      <c r="AD101" s="1065">
        <f t="shared" si="15"/>
        <v>0</v>
      </c>
      <c r="AE101" s="1067"/>
      <c r="AF101" s="1025"/>
      <c r="AG101" s="1068"/>
      <c r="AH101" s="1025"/>
      <c r="AI101" s="1025"/>
      <c r="AJ101" s="1023">
        <f t="shared" si="30"/>
        <v>0</v>
      </c>
      <c r="AK101" s="1026">
        <f t="shared" si="28"/>
        <v>0</v>
      </c>
    </row>
    <row r="102" spans="1:37">
      <c r="A102" s="998" t="s">
        <v>178</v>
      </c>
      <c r="B102" s="873" t="s">
        <v>281</v>
      </c>
      <c r="D102" s="1011">
        <f>'Devel. Bud'!D77</f>
        <v>24765.062073580004</v>
      </c>
      <c r="E102" s="1012"/>
      <c r="F102" s="1060">
        <f>D102</f>
        <v>24765.062073580004</v>
      </c>
      <c r="G102" s="1018"/>
      <c r="H102" s="1019"/>
      <c r="I102" s="1019"/>
      <c r="J102" s="1019"/>
      <c r="K102" s="1019"/>
      <c r="L102" s="1021"/>
      <c r="M102" s="1019"/>
      <c r="N102" s="1019"/>
      <c r="O102" s="1019"/>
      <c r="P102" s="1021"/>
      <c r="Q102" s="1021"/>
      <c r="R102" s="1019"/>
      <c r="S102" s="1021"/>
      <c r="T102" s="1019"/>
      <c r="U102" s="1021"/>
      <c r="V102" s="1019"/>
      <c r="W102" s="1021"/>
      <c r="X102" s="1019"/>
      <c r="Y102" s="1019"/>
      <c r="Z102" s="1021"/>
      <c r="AA102" s="1021"/>
      <c r="AB102" s="1019"/>
      <c r="AC102" s="1019"/>
      <c r="AD102" s="1023">
        <f t="shared" si="15"/>
        <v>0</v>
      </c>
      <c r="AE102" s="1024"/>
      <c r="AF102" s="1025"/>
      <c r="AG102" s="1025"/>
      <c r="AH102" s="1025"/>
      <c r="AI102" s="1025"/>
      <c r="AJ102" s="1023">
        <f t="shared" si="30"/>
        <v>0</v>
      </c>
      <c r="AK102" s="1026">
        <f t="shared" si="28"/>
        <v>0</v>
      </c>
    </row>
    <row r="103" spans="1:37">
      <c r="A103" s="986" t="s">
        <v>66</v>
      </c>
      <c r="D103" s="987">
        <f ca="1">SUM(D88:D102)</f>
        <v>4424765.06207358</v>
      </c>
      <c r="E103" s="1001"/>
      <c r="F103" s="1060"/>
      <c r="G103" s="1018"/>
      <c r="H103" s="1019"/>
      <c r="I103" s="1019"/>
      <c r="J103" s="1019"/>
      <c r="K103" s="1019"/>
      <c r="L103" s="1021"/>
      <c r="M103" s="1019"/>
      <c r="N103" s="1019"/>
      <c r="O103" s="1019"/>
      <c r="P103" s="1021"/>
      <c r="Q103" s="1021"/>
      <c r="R103" s="1019"/>
      <c r="S103" s="1021"/>
      <c r="T103" s="1019"/>
      <c r="U103" s="1021"/>
      <c r="V103" s="1019"/>
      <c r="W103" s="1021"/>
      <c r="X103" s="1019"/>
      <c r="Y103" s="1019"/>
      <c r="Z103" s="1021"/>
      <c r="AA103" s="1021"/>
      <c r="AB103" s="1019"/>
      <c r="AC103" s="1019"/>
      <c r="AD103" s="1023"/>
      <c r="AE103" s="1024"/>
      <c r="AF103" s="1025"/>
      <c r="AG103" s="1025"/>
      <c r="AH103" s="1025"/>
      <c r="AI103" s="1025"/>
      <c r="AJ103" s="1023"/>
      <c r="AK103" s="1026"/>
    </row>
    <row r="104" spans="1:37">
      <c r="A104" s="998"/>
      <c r="D104" s="1011"/>
      <c r="E104" s="1012"/>
      <c r="F104" s="1060"/>
      <c r="G104" s="1018"/>
      <c r="H104" s="1019"/>
      <c r="I104" s="1019"/>
      <c r="J104" s="1019"/>
      <c r="K104" s="1019"/>
      <c r="L104" s="1021"/>
      <c r="M104" s="1019"/>
      <c r="N104" s="1019"/>
      <c r="O104" s="1019"/>
      <c r="P104" s="1021"/>
      <c r="Q104" s="1021"/>
      <c r="R104" s="1019"/>
      <c r="S104" s="1021"/>
      <c r="T104" s="1019"/>
      <c r="U104" s="1021"/>
      <c r="V104" s="1019"/>
      <c r="W104" s="1021"/>
      <c r="X104" s="1019"/>
      <c r="Y104" s="1019"/>
      <c r="Z104" s="1021"/>
      <c r="AA104" s="1021"/>
      <c r="AB104" s="1019"/>
      <c r="AC104" s="1019"/>
      <c r="AD104" s="1023"/>
      <c r="AE104" s="1024"/>
      <c r="AF104" s="1025"/>
      <c r="AG104" s="1025"/>
      <c r="AH104" s="1025"/>
      <c r="AI104" s="1025"/>
      <c r="AJ104" s="1023"/>
      <c r="AK104" s="1026"/>
    </row>
    <row r="105" spans="1:37">
      <c r="A105" s="976" t="s">
        <v>73</v>
      </c>
      <c r="B105" s="1029"/>
      <c r="C105" s="1029"/>
      <c r="D105" s="1030"/>
      <c r="E105" s="1031"/>
      <c r="F105" s="1060"/>
      <c r="G105" s="1018"/>
      <c r="H105" s="1019"/>
      <c r="I105" s="1019"/>
      <c r="J105" s="1019"/>
      <c r="K105" s="1019"/>
      <c r="L105" s="1021"/>
      <c r="M105" s="1019"/>
      <c r="N105" s="1019"/>
      <c r="O105" s="1019"/>
      <c r="P105" s="1021"/>
      <c r="Q105" s="1021"/>
      <c r="R105" s="1019"/>
      <c r="S105" s="1021"/>
      <c r="T105" s="1019"/>
      <c r="U105" s="1021"/>
      <c r="V105" s="1019"/>
      <c r="W105" s="1021"/>
      <c r="X105" s="1019"/>
      <c r="Y105" s="1019"/>
      <c r="Z105" s="1021"/>
      <c r="AA105" s="1021"/>
      <c r="AB105" s="1019"/>
      <c r="AC105" s="1019"/>
      <c r="AD105" s="1023"/>
      <c r="AE105" s="1024"/>
      <c r="AF105" s="1025"/>
      <c r="AG105" s="1025"/>
      <c r="AH105" s="1025"/>
      <c r="AI105" s="1025"/>
      <c r="AJ105" s="1023"/>
      <c r="AK105" s="1026"/>
    </row>
    <row r="106" spans="1:37">
      <c r="A106" s="998" t="s">
        <v>122</v>
      </c>
      <c r="B106" s="938" t="s">
        <v>607</v>
      </c>
      <c r="D106" s="1011">
        <f>'Devel. Bud'!D81</f>
        <v>136000</v>
      </c>
      <c r="E106" s="1012"/>
      <c r="F106" s="1060"/>
      <c r="G106" s="1018"/>
      <c r="H106" s="1019"/>
      <c r="I106" s="1019"/>
      <c r="J106" s="1019"/>
      <c r="K106" s="1019"/>
      <c r="L106" s="1021"/>
      <c r="M106" s="1019"/>
      <c r="N106" s="1019"/>
      <c r="O106" s="1019"/>
      <c r="P106" s="1021"/>
      <c r="Q106" s="1021"/>
      <c r="R106" s="1019"/>
      <c r="S106" s="1021"/>
      <c r="T106" s="1019"/>
      <c r="U106" s="1021"/>
      <c r="V106" s="1019"/>
      <c r="W106" s="1021"/>
      <c r="X106" s="1019"/>
      <c r="Y106" s="1019"/>
      <c r="Z106" s="1021"/>
      <c r="AA106" s="1021"/>
      <c r="AB106" s="1019"/>
      <c r="AC106" s="1019"/>
      <c r="AD106" s="1023"/>
      <c r="AE106" s="1024"/>
      <c r="AF106" s="1025"/>
      <c r="AG106" s="1025"/>
      <c r="AH106" s="1025"/>
      <c r="AI106" s="1025"/>
      <c r="AJ106" s="1023">
        <f t="shared" ref="AJ106:AJ111" si="38">D106-SUM(F106:AI106)</f>
        <v>136000</v>
      </c>
      <c r="AK106" s="1026">
        <f t="shared" ref="AK106:AK111" si="39">SUM(F106:AJ106)-D106</f>
        <v>0</v>
      </c>
    </row>
    <row r="107" spans="1:37">
      <c r="A107" s="998" t="s">
        <v>56</v>
      </c>
      <c r="B107" s="938" t="s">
        <v>607</v>
      </c>
      <c r="D107" s="1011">
        <f>'Devel. Bud'!D82</f>
        <v>136000</v>
      </c>
      <c r="E107" s="1012"/>
      <c r="F107" s="1060"/>
      <c r="G107" s="1018"/>
      <c r="H107" s="1019"/>
      <c r="I107" s="1019"/>
      <c r="J107" s="1019"/>
      <c r="K107" s="1019"/>
      <c r="L107" s="1021"/>
      <c r="M107" s="1019"/>
      <c r="N107" s="1019"/>
      <c r="O107" s="1019"/>
      <c r="P107" s="1021"/>
      <c r="Q107" s="1021"/>
      <c r="R107" s="1019"/>
      <c r="S107" s="1021"/>
      <c r="T107" s="1019"/>
      <c r="U107" s="1021"/>
      <c r="V107" s="1019"/>
      <c r="W107" s="1021"/>
      <c r="X107" s="1019"/>
      <c r="Y107" s="1019"/>
      <c r="Z107" s="1021"/>
      <c r="AA107" s="1021"/>
      <c r="AB107" s="1019"/>
      <c r="AC107" s="1019"/>
      <c r="AD107" s="1023"/>
      <c r="AE107" s="1024"/>
      <c r="AF107" s="1025"/>
      <c r="AG107" s="1025"/>
      <c r="AH107" s="1025"/>
      <c r="AI107" s="1025"/>
      <c r="AJ107" s="1023">
        <f t="shared" si="38"/>
        <v>136000</v>
      </c>
      <c r="AK107" s="1026">
        <f t="shared" si="39"/>
        <v>0</v>
      </c>
    </row>
    <row r="108" spans="1:37">
      <c r="A108" s="998" t="s">
        <v>202</v>
      </c>
      <c r="B108" s="938" t="s">
        <v>607</v>
      </c>
      <c r="D108" s="1011">
        <f>'Devel. Bud'!D83</f>
        <v>999223</v>
      </c>
      <c r="E108" s="1012"/>
      <c r="F108" s="1060"/>
      <c r="G108" s="1018"/>
      <c r="H108" s="1019"/>
      <c r="I108" s="1019"/>
      <c r="J108" s="1019"/>
      <c r="K108" s="1019"/>
      <c r="L108" s="1021"/>
      <c r="M108" s="1019"/>
      <c r="N108" s="1019"/>
      <c r="O108" s="1019"/>
      <c r="P108" s="1021"/>
      <c r="Q108" s="1021"/>
      <c r="R108" s="1019"/>
      <c r="S108" s="1021"/>
      <c r="T108" s="1019"/>
      <c r="U108" s="1021"/>
      <c r="V108" s="1019"/>
      <c r="W108" s="1021"/>
      <c r="X108" s="1019"/>
      <c r="Y108" s="1019"/>
      <c r="Z108" s="1021"/>
      <c r="AA108" s="1021"/>
      <c r="AB108" s="1019"/>
      <c r="AC108" s="1019"/>
      <c r="AD108" s="1023"/>
      <c r="AE108" s="1024"/>
      <c r="AF108" s="1025"/>
      <c r="AG108" s="1025"/>
      <c r="AH108" s="1025"/>
      <c r="AI108" s="1025"/>
      <c r="AJ108" s="1023">
        <f t="shared" si="38"/>
        <v>999223</v>
      </c>
      <c r="AK108" s="1026">
        <f t="shared" si="39"/>
        <v>0</v>
      </c>
    </row>
    <row r="109" spans="1:37">
      <c r="A109" s="998" t="s">
        <v>351</v>
      </c>
      <c r="B109" s="938" t="s">
        <v>607</v>
      </c>
      <c r="D109" s="1011">
        <f>'Devel. Bud'!D84</f>
        <v>774005</v>
      </c>
      <c r="E109" s="1012"/>
      <c r="F109" s="1060"/>
      <c r="G109" s="1018"/>
      <c r="H109" s="1019"/>
      <c r="I109" s="1019"/>
      <c r="J109" s="1019"/>
      <c r="K109" s="1019"/>
      <c r="L109" s="1021"/>
      <c r="M109" s="1019"/>
      <c r="N109" s="1019"/>
      <c r="O109" s="1019"/>
      <c r="P109" s="1021"/>
      <c r="Q109" s="1021"/>
      <c r="R109" s="1019"/>
      <c r="S109" s="1021"/>
      <c r="T109" s="1019"/>
      <c r="U109" s="1021"/>
      <c r="V109" s="1019"/>
      <c r="W109" s="1021"/>
      <c r="X109" s="1019"/>
      <c r="Y109" s="1019"/>
      <c r="Z109" s="1021"/>
      <c r="AA109" s="1021"/>
      <c r="AB109" s="1019"/>
      <c r="AC109" s="1019"/>
      <c r="AD109" s="1023"/>
      <c r="AE109" s="1024"/>
      <c r="AF109" s="1025"/>
      <c r="AG109" s="1025"/>
      <c r="AH109" s="1025"/>
      <c r="AI109" s="1025"/>
      <c r="AJ109" s="1023">
        <f t="shared" si="38"/>
        <v>774005</v>
      </c>
      <c r="AK109" s="1026">
        <f t="shared" si="39"/>
        <v>0</v>
      </c>
    </row>
    <row r="110" spans="1:37">
      <c r="A110" s="998" t="s">
        <v>102</v>
      </c>
      <c r="B110" s="873" t="s">
        <v>281</v>
      </c>
      <c r="D110" s="1011">
        <f>'Source by Use'!J76</f>
        <v>0</v>
      </c>
      <c r="E110" s="1012"/>
      <c r="F110" s="1060"/>
      <c r="G110" s="1018"/>
      <c r="H110" s="1019"/>
      <c r="I110" s="1019"/>
      <c r="J110" s="1019">
        <f>$D$110*10%</f>
        <v>0</v>
      </c>
      <c r="K110" s="1019"/>
      <c r="L110" s="1021">
        <f>$D$110*10%</f>
        <v>0</v>
      </c>
      <c r="M110" s="1019">
        <f>$D$110*10%</f>
        <v>0</v>
      </c>
      <c r="N110" s="1019">
        <f>$D$110*10%</f>
        <v>0</v>
      </c>
      <c r="O110" s="1019"/>
      <c r="P110" s="1021"/>
      <c r="Q110" s="1021"/>
      <c r="R110" s="1019"/>
      <c r="S110" s="1021"/>
      <c r="T110" s="1019"/>
      <c r="U110" s="1021">
        <f>$D$110*10%</f>
        <v>0</v>
      </c>
      <c r="V110" s="1019"/>
      <c r="W110" s="1021">
        <f>$D$110*10%</f>
        <v>0</v>
      </c>
      <c r="X110" s="1019"/>
      <c r="Y110" s="1019">
        <f>$D$110*10%</f>
        <v>0</v>
      </c>
      <c r="Z110" s="1021"/>
      <c r="AA110" s="1021"/>
      <c r="AB110" s="1019"/>
      <c r="AC110" s="1019"/>
      <c r="AD110" s="1022">
        <f>$D$110*10%</f>
        <v>0</v>
      </c>
      <c r="AE110" s="1024"/>
      <c r="AF110" s="1025"/>
      <c r="AG110" s="1019"/>
      <c r="AH110" s="1025"/>
      <c r="AI110" s="1025"/>
      <c r="AJ110" s="1023">
        <f t="shared" si="38"/>
        <v>0</v>
      </c>
      <c r="AK110" s="1026">
        <f t="shared" ref="AK110" si="40">SUM(F110:AJ110)-D110</f>
        <v>0</v>
      </c>
    </row>
    <row r="111" spans="1:37">
      <c r="A111" s="998" t="s">
        <v>102</v>
      </c>
      <c r="B111" s="873" t="s">
        <v>522</v>
      </c>
      <c r="D111" s="1011">
        <f ca="1">'Source by Use'!E76</f>
        <v>584252</v>
      </c>
      <c r="E111" s="1012"/>
      <c r="F111" s="1060"/>
      <c r="G111" s="1018"/>
      <c r="H111" s="1019"/>
      <c r="I111" s="1019"/>
      <c r="J111" s="1019">
        <f ca="1">$D$111*10%</f>
        <v>58425.200000000004</v>
      </c>
      <c r="K111" s="1019"/>
      <c r="L111" s="1021">
        <f t="shared" ref="L111:N111" ca="1" si="41">$D$111*10%</f>
        <v>58425.200000000004</v>
      </c>
      <c r="M111" s="1019">
        <f t="shared" ca="1" si="41"/>
        <v>58425.200000000004</v>
      </c>
      <c r="N111" s="1019">
        <f t="shared" ca="1" si="41"/>
        <v>58425.200000000004</v>
      </c>
      <c r="O111" s="1019"/>
      <c r="P111" s="1021"/>
      <c r="Q111" s="1021"/>
      <c r="R111" s="1019"/>
      <c r="S111" s="1021"/>
      <c r="T111" s="1019"/>
      <c r="U111" s="1021">
        <f t="shared" ref="U111:Y111" ca="1" si="42">$D$111*10%</f>
        <v>58425.200000000004</v>
      </c>
      <c r="V111" s="1019"/>
      <c r="W111" s="1021">
        <f t="shared" ca="1" si="42"/>
        <v>58425.200000000004</v>
      </c>
      <c r="X111" s="1019"/>
      <c r="Y111" s="1019">
        <f t="shared" ca="1" si="42"/>
        <v>58425.200000000004</v>
      </c>
      <c r="Z111" s="1021"/>
      <c r="AA111" s="1021"/>
      <c r="AB111" s="1019"/>
      <c r="AC111" s="1019"/>
      <c r="AD111" s="1022">
        <f t="shared" ref="AD111" ca="1" si="43">$D$111*10%</f>
        <v>58425.200000000004</v>
      </c>
      <c r="AE111" s="1024"/>
      <c r="AF111" s="1025"/>
      <c r="AG111" s="1019"/>
      <c r="AH111" s="1025"/>
      <c r="AI111" s="1025"/>
      <c r="AJ111" s="1023">
        <f t="shared" ca="1" si="38"/>
        <v>116850.39999999997</v>
      </c>
      <c r="AK111" s="1026">
        <f t="shared" ca="1" si="39"/>
        <v>0</v>
      </c>
    </row>
    <row r="112" spans="1:37">
      <c r="A112" s="986" t="s">
        <v>66</v>
      </c>
      <c r="D112" s="987">
        <f ca="1">SUM(D106:D111)</f>
        <v>2629480</v>
      </c>
      <c r="E112" s="1001"/>
      <c r="F112" s="1060"/>
      <c r="G112" s="1018"/>
      <c r="H112" s="1019"/>
      <c r="I112" s="1019"/>
      <c r="J112" s="1019"/>
      <c r="K112" s="1019"/>
      <c r="L112" s="1021"/>
      <c r="M112" s="1019"/>
      <c r="N112" s="1019"/>
      <c r="O112" s="1019"/>
      <c r="P112" s="1021"/>
      <c r="Q112" s="1021"/>
      <c r="R112" s="1019"/>
      <c r="S112" s="1021"/>
      <c r="T112" s="1019"/>
      <c r="U112" s="1021"/>
      <c r="V112" s="1019"/>
      <c r="W112" s="1021"/>
      <c r="X112" s="1019"/>
      <c r="Y112" s="1019"/>
      <c r="Z112" s="1021"/>
      <c r="AA112" s="1021"/>
      <c r="AB112" s="1019"/>
      <c r="AC112" s="1019"/>
      <c r="AD112" s="1023"/>
      <c r="AE112" s="1024"/>
      <c r="AF112" s="1025"/>
      <c r="AG112" s="1025"/>
      <c r="AH112" s="1025"/>
      <c r="AI112" s="1025"/>
      <c r="AJ112" s="1023"/>
      <c r="AK112" s="1026"/>
    </row>
    <row r="113" spans="1:37">
      <c r="A113" s="998"/>
      <c r="D113" s="1011"/>
      <c r="E113" s="1012"/>
      <c r="F113" s="1060"/>
      <c r="G113" s="1018"/>
      <c r="H113" s="1019"/>
      <c r="I113" s="1019"/>
      <c r="J113" s="1019"/>
      <c r="K113" s="1019"/>
      <c r="L113" s="1021"/>
      <c r="M113" s="1019"/>
      <c r="N113" s="1019"/>
      <c r="O113" s="1019"/>
      <c r="P113" s="1021"/>
      <c r="Q113" s="1021"/>
      <c r="R113" s="1019"/>
      <c r="S113" s="1021"/>
      <c r="T113" s="1019"/>
      <c r="U113" s="1021"/>
      <c r="V113" s="1019"/>
      <c r="W113" s="1021"/>
      <c r="X113" s="1019"/>
      <c r="Y113" s="1019"/>
      <c r="Z113" s="1021"/>
      <c r="AA113" s="1021"/>
      <c r="AB113" s="1019"/>
      <c r="AC113" s="1019"/>
      <c r="AD113" s="1023"/>
      <c r="AE113" s="1024"/>
      <c r="AF113" s="1025"/>
      <c r="AG113" s="1025"/>
      <c r="AH113" s="1025"/>
      <c r="AI113" s="1025"/>
      <c r="AJ113" s="1023"/>
      <c r="AK113" s="1026"/>
    </row>
    <row r="114" spans="1:37" ht="12" thickBot="1">
      <c r="A114" s="976" t="s">
        <v>256</v>
      </c>
      <c r="B114" s="938" t="s">
        <v>609</v>
      </c>
      <c r="C114" s="1029"/>
      <c r="D114" s="1030">
        <v>4500000</v>
      </c>
      <c r="E114" s="1001"/>
      <c r="F114" s="1061"/>
      <c r="G114" s="1034"/>
      <c r="H114" s="1035"/>
      <c r="I114" s="1035"/>
      <c r="J114" s="1035"/>
      <c r="K114" s="1035"/>
      <c r="L114" s="1036"/>
      <c r="M114" s="1035"/>
      <c r="N114" s="1035"/>
      <c r="O114" s="1035"/>
      <c r="P114" s="1036"/>
      <c r="Q114" s="1036"/>
      <c r="R114" s="1035"/>
      <c r="S114" s="1036"/>
      <c r="T114" s="1035"/>
      <c r="U114" s="1036"/>
      <c r="V114" s="1035"/>
      <c r="W114" s="1036"/>
      <c r="X114" s="1035"/>
      <c r="Y114" s="1035"/>
      <c r="Z114" s="1036"/>
      <c r="AA114" s="1036"/>
      <c r="AB114" s="1035"/>
      <c r="AC114" s="1035"/>
      <c r="AD114" s="1037"/>
      <c r="AE114" s="1038"/>
      <c r="AF114" s="1039"/>
      <c r="AG114" s="1039"/>
      <c r="AH114" s="1039"/>
      <c r="AI114" s="1039"/>
      <c r="AJ114" s="1037">
        <f>D114-SUM(F114:AI114)</f>
        <v>4500000</v>
      </c>
      <c r="AK114" s="1026">
        <f>SUM(F114:AJ114)-D114</f>
        <v>0</v>
      </c>
    </row>
    <row r="115" spans="1:37" ht="12" thickBot="1">
      <c r="A115" s="976" t="s">
        <v>256</v>
      </c>
      <c r="B115" s="873" t="s">
        <v>522</v>
      </c>
      <c r="C115" s="1029"/>
      <c r="D115" s="1030">
        <v>500000</v>
      </c>
      <c r="E115" s="1001"/>
      <c r="F115" s="1061">
        <v>500000</v>
      </c>
      <c r="G115" s="1034"/>
      <c r="H115" s="1035"/>
      <c r="I115" s="1035"/>
      <c r="J115" s="1035"/>
      <c r="K115" s="1035"/>
      <c r="L115" s="1036"/>
      <c r="M115" s="1035"/>
      <c r="N115" s="1035"/>
      <c r="O115" s="1035"/>
      <c r="P115" s="1036"/>
      <c r="Q115" s="1036"/>
      <c r="R115" s="1035"/>
      <c r="S115" s="1036"/>
      <c r="T115" s="1035"/>
      <c r="U115" s="1036"/>
      <c r="V115" s="1035"/>
      <c r="W115" s="1036"/>
      <c r="X115" s="1035"/>
      <c r="Y115" s="1035"/>
      <c r="Z115" s="1036"/>
      <c r="AA115" s="1036"/>
      <c r="AB115" s="1035"/>
      <c r="AC115" s="1035"/>
      <c r="AD115" s="1037"/>
      <c r="AE115" s="1038"/>
      <c r="AF115" s="1039"/>
      <c r="AG115" s="1039"/>
      <c r="AH115" s="1039"/>
      <c r="AI115" s="1039"/>
      <c r="AJ115" s="1037">
        <f>D115-SUM(F115:AI115)</f>
        <v>0</v>
      </c>
      <c r="AK115" s="1026">
        <f>SUM(F115:AJ115)-D115</f>
        <v>0</v>
      </c>
    </row>
    <row r="116" spans="1:37">
      <c r="D116" s="1116"/>
      <c r="F116" s="1026"/>
      <c r="G116" s="1026"/>
      <c r="H116" s="1026"/>
      <c r="I116" s="1026"/>
      <c r="J116" s="1026"/>
      <c r="K116" s="1026"/>
      <c r="L116" s="1026"/>
      <c r="M116" s="1026"/>
      <c r="N116" s="1026"/>
      <c r="O116" s="1026"/>
      <c r="P116" s="1026"/>
      <c r="Q116" s="1026"/>
      <c r="R116" s="1026"/>
      <c r="S116" s="1026"/>
      <c r="T116" s="1026"/>
      <c r="U116" s="1026"/>
      <c r="V116" s="1026"/>
      <c r="W116" s="1026"/>
      <c r="X116" s="1026"/>
      <c r="Y116" s="1026"/>
      <c r="Z116" s="1026"/>
      <c r="AA116" s="1026"/>
      <c r="AB116" s="1026"/>
      <c r="AC116" s="1026"/>
      <c r="AD116" s="1026"/>
      <c r="AE116" s="1026"/>
      <c r="AF116" s="1026"/>
      <c r="AG116" s="1026"/>
      <c r="AH116" s="1026"/>
      <c r="AI116" s="1026"/>
      <c r="AJ116" s="1026"/>
      <c r="AK116" s="1026"/>
    </row>
    <row r="117" spans="1:37" ht="15">
      <c r="A117" s="1040" t="s">
        <v>456</v>
      </c>
      <c r="D117" s="1041">
        <f ca="1">SUM(D10,D45,D64,D74,D85,D103,D112,D114,D115)</f>
        <v>41294173.562073581</v>
      </c>
      <c r="E117" s="1001"/>
      <c r="F117" s="1042">
        <f ca="1">SUM(F10,F14:F115)</f>
        <v>7112060.9670318235</v>
      </c>
      <c r="G117" s="1042">
        <f t="shared" ref="G117:AI117" ca="1" si="44">SUM(G10,G14:G115)</f>
        <v>1058776.1709483059</v>
      </c>
      <c r="H117" s="1042">
        <f t="shared" ca="1" si="44"/>
        <v>1193791.7260568761</v>
      </c>
      <c r="I117" s="1042">
        <f t="shared" ca="1" si="44"/>
        <v>1624521.8155661796</v>
      </c>
      <c r="J117" s="1042">
        <f t="shared" ca="1" si="44"/>
        <v>1252865.8622142947</v>
      </c>
      <c r="K117" s="1042">
        <f t="shared" ca="1" si="44"/>
        <v>475934.20539034926</v>
      </c>
      <c r="L117" s="1042">
        <f t="shared" ca="1" si="44"/>
        <v>955737.73336433468</v>
      </c>
      <c r="M117" s="1042">
        <f t="shared" ca="1" si="44"/>
        <v>1515730.6137812333</v>
      </c>
      <c r="N117" s="1042">
        <f t="shared" ca="1" si="44"/>
        <v>1507381.6935501106</v>
      </c>
      <c r="O117" s="1042">
        <f t="shared" ca="1" si="44"/>
        <v>490184.73181174451</v>
      </c>
      <c r="P117" s="1042">
        <f t="shared" ca="1" si="44"/>
        <v>649048.37659986503</v>
      </c>
      <c r="Q117" s="1042">
        <f t="shared" ca="1" si="44"/>
        <v>1625791.4484028504</v>
      </c>
      <c r="R117" s="1042">
        <f t="shared" ca="1" si="44"/>
        <v>2668281.7978054723</v>
      </c>
      <c r="S117" s="1042">
        <f t="shared" ca="1" si="44"/>
        <v>1133832.7204970852</v>
      </c>
      <c r="T117" s="1042">
        <f t="shared" ca="1" si="44"/>
        <v>941505.24242221052</v>
      </c>
      <c r="U117" s="1042">
        <f t="shared" ca="1" si="44"/>
        <v>1221851.2348632251</v>
      </c>
      <c r="V117" s="1042">
        <f t="shared" ca="1" si="44"/>
        <v>1746622.613030263</v>
      </c>
      <c r="W117" s="1042">
        <f t="shared" ca="1" si="44"/>
        <v>1075655.8248412851</v>
      </c>
      <c r="X117" s="1042">
        <f t="shared" ca="1" si="44"/>
        <v>864755.09168572724</v>
      </c>
      <c r="Y117" s="1042">
        <f t="shared" ca="1" si="44"/>
        <v>923625.01396614162</v>
      </c>
      <c r="Z117" s="1042">
        <f t="shared" ca="1" si="44"/>
        <v>867492.73508454952</v>
      </c>
      <c r="AA117" s="1042">
        <f t="shared" ca="1" si="44"/>
        <v>872049.84276227292</v>
      </c>
      <c r="AB117" s="1042">
        <f t="shared" ca="1" si="44"/>
        <v>874365.34838007053</v>
      </c>
      <c r="AC117" s="1042">
        <f t="shared" ca="1" si="44"/>
        <v>673924.43351928145</v>
      </c>
      <c r="AD117" s="1042">
        <f t="shared" ca="1" si="44"/>
        <v>500827.31399380299</v>
      </c>
      <c r="AE117" s="1042">
        <f t="shared" ca="1" si="44"/>
        <v>95092.587273657045</v>
      </c>
      <c r="AF117" s="1042">
        <f t="shared" ca="1" si="44"/>
        <v>95448.543705309785</v>
      </c>
      <c r="AG117" s="1042">
        <f t="shared" ca="1" si="44"/>
        <v>95054.040168673731</v>
      </c>
      <c r="AH117" s="1042">
        <f t="shared" ca="1" si="44"/>
        <v>93907.125413452013</v>
      </c>
      <c r="AI117" s="1042">
        <f t="shared" ca="1" si="44"/>
        <v>94261.688002350696</v>
      </c>
      <c r="AJ117" s="1042">
        <f ca="1">SUM(AJ10,AJ14:AJ115)</f>
        <v>6993931.0199407823</v>
      </c>
      <c r="AK117" s="1026">
        <f ca="1">SUM(F117:AJ117)-D117</f>
        <v>135.99999999254942</v>
      </c>
    </row>
    <row r="119" spans="1:37">
      <c r="A119" s="976" t="s">
        <v>134</v>
      </c>
    </row>
    <row r="120" spans="1:37">
      <c r="A120" s="998" t="s">
        <v>586</v>
      </c>
      <c r="B120" s="938" t="s">
        <v>522</v>
      </c>
      <c r="D120" s="1026">
        <f ca="1">'Sources and Use'!C7</f>
        <v>19600000</v>
      </c>
      <c r="E120" s="1026"/>
      <c r="F120" s="1026">
        <f t="shared" ref="F120:AJ120" ca="1" si="45">SUMIF($B$10:$B$117, $B$120, F$10:F$117)</f>
        <v>3772297.1899784068</v>
      </c>
      <c r="G120" s="1026">
        <f t="shared" ca="1" si="45"/>
        <v>541267.83761497249</v>
      </c>
      <c r="H120" s="1026">
        <f t="shared" ca="1" si="45"/>
        <v>563304.22605687613</v>
      </c>
      <c r="I120" s="1026">
        <f t="shared" ca="1" si="45"/>
        <v>763363.4822328462</v>
      </c>
      <c r="J120" s="1026">
        <f t="shared" ca="1" si="45"/>
        <v>736290.19554762798</v>
      </c>
      <c r="K120" s="1026">
        <f t="shared" ca="1" si="45"/>
        <v>250282.24460603559</v>
      </c>
      <c r="L120" s="1026">
        <f t="shared" ca="1" si="45"/>
        <v>526806.36081531504</v>
      </c>
      <c r="M120" s="1026">
        <f t="shared" ca="1" si="45"/>
        <v>883350.71182044921</v>
      </c>
      <c r="N120" s="1026">
        <f t="shared" ca="1" si="45"/>
        <v>874494.43864814984</v>
      </c>
      <c r="O120" s="1026">
        <f t="shared" ca="1" si="45"/>
        <v>262980.71220390149</v>
      </c>
      <c r="P120" s="1026">
        <f t="shared" ca="1" si="45"/>
        <v>354001.80797241395</v>
      </c>
      <c r="Q120" s="1026">
        <f t="shared" ca="1" si="45"/>
        <v>788891.93859892932</v>
      </c>
      <c r="R120" s="1026">
        <f t="shared" ca="1" si="45"/>
        <v>1559892.0919231186</v>
      </c>
      <c r="S120" s="1026">
        <f t="shared" ca="1" si="45"/>
        <v>566128.50481081079</v>
      </c>
      <c r="T120" s="1026">
        <f t="shared" ca="1" si="45"/>
        <v>590041.02673593594</v>
      </c>
      <c r="U120" s="1026">
        <f t="shared" ca="1" si="45"/>
        <v>653465.45054949995</v>
      </c>
      <c r="V120" s="1026">
        <f t="shared" ca="1" si="45"/>
        <v>852809.37773614586</v>
      </c>
      <c r="W120" s="1026">
        <f t="shared" ca="1" si="45"/>
        <v>614390.98170403019</v>
      </c>
      <c r="X120" s="1026">
        <f t="shared" ca="1" si="45"/>
        <v>476163.42501906049</v>
      </c>
      <c r="Y120" s="1026">
        <f t="shared" ca="1" si="45"/>
        <v>534733.34729947499</v>
      </c>
      <c r="Z120" s="1026">
        <f t="shared" ca="1" si="45"/>
        <v>478301.06841788284</v>
      </c>
      <c r="AA120" s="1026">
        <f t="shared" ca="1" si="45"/>
        <v>481705.84265361872</v>
      </c>
      <c r="AB120" s="1026">
        <f t="shared" ca="1" si="45"/>
        <v>483721.34827141627</v>
      </c>
      <c r="AC120" s="1026">
        <f t="shared" ca="1" si="45"/>
        <v>643280.4334106273</v>
      </c>
      <c r="AD120" s="1026">
        <f t="shared" ca="1" si="45"/>
        <v>465183.31388514867</v>
      </c>
      <c r="AE120" s="1026">
        <f t="shared" ca="1" si="45"/>
        <v>85073.587165002886</v>
      </c>
      <c r="AF120" s="1026">
        <f t="shared" ca="1" si="45"/>
        <v>85429.543596655625</v>
      </c>
      <c r="AG120" s="1026">
        <f t="shared" ca="1" si="45"/>
        <v>85319.151207348725</v>
      </c>
      <c r="AH120" s="1026">
        <f t="shared" ca="1" si="45"/>
        <v>84740.458746785342</v>
      </c>
      <c r="AI120" s="1026">
        <f t="shared" ca="1" si="45"/>
        <v>85095.021335684025</v>
      </c>
      <c r="AJ120" s="1026">
        <f t="shared" ca="1" si="45"/>
        <v>457194.4415094094</v>
      </c>
      <c r="AK120" s="1026">
        <f ca="1">SUM(F120:AJ120)-D120</f>
        <v>-0.43792642280459404</v>
      </c>
    </row>
    <row r="121" spans="1:37" hidden="1">
      <c r="A121" s="998" t="s">
        <v>350</v>
      </c>
      <c r="D121" s="1026">
        <f>'Sources and Use'!C8</f>
        <v>0</v>
      </c>
      <c r="E121" s="1026"/>
      <c r="F121" s="1026"/>
      <c r="G121" s="1026"/>
      <c r="H121" s="1026"/>
      <c r="I121" s="1026"/>
      <c r="J121" s="1026"/>
      <c r="K121" s="1026"/>
      <c r="L121" s="1026"/>
      <c r="M121" s="1026"/>
      <c r="N121" s="1026"/>
      <c r="O121" s="1026"/>
      <c r="P121" s="1026"/>
      <c r="Q121" s="1026"/>
      <c r="R121" s="1026"/>
      <c r="S121" s="1026"/>
      <c r="T121" s="1026"/>
      <c r="U121" s="1026"/>
      <c r="V121" s="1026"/>
      <c r="W121" s="1026"/>
      <c r="X121" s="1026"/>
      <c r="Y121" s="1026"/>
      <c r="Z121" s="1026"/>
      <c r="AA121" s="1026"/>
      <c r="AB121" s="1026"/>
      <c r="AC121" s="1026"/>
      <c r="AD121" s="1026"/>
      <c r="AE121" s="1026"/>
      <c r="AF121" s="1026"/>
      <c r="AG121" s="1026"/>
      <c r="AH121" s="1026"/>
      <c r="AI121" s="1026"/>
      <c r="AJ121" s="1026">
        <f t="shared" ref="AJ121:AJ122" si="46">D121-SUM(F121:AI121)</f>
        <v>0</v>
      </c>
      <c r="AK121" s="1026">
        <f t="shared" ref="AK121:AK132" si="47">D121-SUM(F121:AJ121)</f>
        <v>0</v>
      </c>
    </row>
    <row r="122" spans="1:37">
      <c r="A122" s="998" t="s">
        <v>156</v>
      </c>
      <c r="D122" s="1026">
        <f>'Sources and Use'!C9</f>
        <v>2500000</v>
      </c>
      <c r="E122" s="741"/>
      <c r="F122" s="1026">
        <f>D122</f>
        <v>2500000</v>
      </c>
      <c r="J122" s="1026"/>
      <c r="K122" s="1026"/>
      <c r="L122" s="1026"/>
      <c r="M122" s="1042"/>
      <c r="N122" s="1042"/>
      <c r="O122" s="1042"/>
      <c r="P122" s="1042"/>
      <c r="Q122" s="1042"/>
      <c r="R122" s="1042"/>
      <c r="S122" s="1042"/>
      <c r="T122" s="1042"/>
      <c r="U122" s="1042"/>
      <c r="V122" s="1042"/>
      <c r="W122" s="1042"/>
      <c r="X122" s="1042"/>
      <c r="Y122" s="1042"/>
      <c r="Z122" s="1042"/>
      <c r="AA122" s="1042"/>
      <c r="AB122" s="1042"/>
      <c r="AC122" s="1042"/>
      <c r="AD122" s="1042"/>
      <c r="AE122" s="1042"/>
      <c r="AF122" s="1042"/>
      <c r="AG122" s="1042"/>
      <c r="AH122" s="1042"/>
      <c r="AI122" s="1042"/>
      <c r="AJ122" s="1026">
        <f t="shared" si="46"/>
        <v>0</v>
      </c>
      <c r="AK122" s="1026">
        <f t="shared" si="47"/>
        <v>0</v>
      </c>
    </row>
    <row r="123" spans="1:37">
      <c r="A123" s="998" t="s">
        <v>480</v>
      </c>
      <c r="B123" s="938" t="s">
        <v>521</v>
      </c>
      <c r="D123" s="1026">
        <f>'Sources and Use'!C10</f>
        <v>11000000</v>
      </c>
      <c r="E123" s="741"/>
      <c r="F123" s="1026">
        <f t="shared" ref="F123:AJ123" si="48">SUMIF($B$10:$B$117, $B123, F$10:F$117)</f>
        <v>0</v>
      </c>
      <c r="G123" s="1026">
        <f t="shared" si="48"/>
        <v>460000</v>
      </c>
      <c r="H123" s="1026">
        <f t="shared" si="48"/>
        <v>575000</v>
      </c>
      <c r="I123" s="1026">
        <f t="shared" si="48"/>
        <v>805000</v>
      </c>
      <c r="J123" s="1026">
        <f t="shared" si="48"/>
        <v>460000</v>
      </c>
      <c r="K123" s="1026">
        <f t="shared" si="48"/>
        <v>202941.17647058825</v>
      </c>
      <c r="L123" s="1026">
        <f t="shared" si="48"/>
        <v>405882.3529411765</v>
      </c>
      <c r="M123" s="1026">
        <f t="shared" si="48"/>
        <v>608823.5294117647</v>
      </c>
      <c r="N123" s="1026">
        <f t="shared" si="48"/>
        <v>608823.5294117647</v>
      </c>
      <c r="O123" s="1026">
        <f t="shared" si="48"/>
        <v>202941.17647058825</v>
      </c>
      <c r="P123" s="1026">
        <f t="shared" si="48"/>
        <v>270588.23529411765</v>
      </c>
      <c r="Q123" s="1026">
        <f t="shared" si="48"/>
        <v>811764.70588235301</v>
      </c>
      <c r="R123" s="1026">
        <f t="shared" si="48"/>
        <v>1082352.9411764706</v>
      </c>
      <c r="S123" s="1026">
        <f t="shared" si="48"/>
        <v>541176.4705882353</v>
      </c>
      <c r="T123" s="1026">
        <f t="shared" si="48"/>
        <v>324705.88235294115</v>
      </c>
      <c r="U123" s="1026">
        <f t="shared" si="48"/>
        <v>541176.4705882353</v>
      </c>
      <c r="V123" s="1026">
        <f t="shared" si="48"/>
        <v>865882.3529411765</v>
      </c>
      <c r="W123" s="1026">
        <f t="shared" si="48"/>
        <v>432941.17647058825</v>
      </c>
      <c r="X123" s="1026">
        <f t="shared" si="48"/>
        <v>360000</v>
      </c>
      <c r="Y123" s="1026">
        <f t="shared" si="48"/>
        <v>360000</v>
      </c>
      <c r="Z123" s="1026">
        <f t="shared" si="48"/>
        <v>360000</v>
      </c>
      <c r="AA123" s="1026">
        <f t="shared" si="48"/>
        <v>360000</v>
      </c>
      <c r="AB123" s="1026">
        <f t="shared" si="48"/>
        <v>360000</v>
      </c>
      <c r="AC123" s="1026">
        <f t="shared" si="48"/>
        <v>0</v>
      </c>
      <c r="AD123" s="1026">
        <f t="shared" si="48"/>
        <v>0</v>
      </c>
      <c r="AE123" s="1026">
        <f t="shared" si="48"/>
        <v>0</v>
      </c>
      <c r="AF123" s="1026">
        <f t="shared" si="48"/>
        <v>0</v>
      </c>
      <c r="AG123" s="1026">
        <f t="shared" si="48"/>
        <v>0</v>
      </c>
      <c r="AH123" s="1026">
        <f t="shared" si="48"/>
        <v>0</v>
      </c>
      <c r="AI123" s="1026">
        <f t="shared" si="48"/>
        <v>0</v>
      </c>
      <c r="AJ123" s="1026">
        <f t="shared" si="48"/>
        <v>0</v>
      </c>
      <c r="AK123" s="1026">
        <f t="shared" si="47"/>
        <v>0</v>
      </c>
    </row>
    <row r="124" spans="1:37" hidden="1">
      <c r="A124" s="998" t="s">
        <v>481</v>
      </c>
      <c r="D124" s="1026">
        <f>'Sources and Use'!C11</f>
        <v>0</v>
      </c>
      <c r="E124" s="741"/>
      <c r="F124" s="1026"/>
      <c r="G124" s="1026"/>
      <c r="H124" s="1026"/>
      <c r="I124" s="1026"/>
      <c r="J124" s="1026"/>
      <c r="K124" s="1026"/>
      <c r="L124" s="1026"/>
      <c r="M124" s="1026"/>
      <c r="N124" s="1026"/>
      <c r="O124" s="1026"/>
      <c r="P124" s="1026"/>
      <c r="Q124" s="1026"/>
      <c r="R124" s="1026"/>
      <c r="S124" s="1026"/>
      <c r="T124" s="1026"/>
      <c r="U124" s="1026"/>
      <c r="V124" s="1026"/>
      <c r="W124" s="1026"/>
      <c r="X124" s="1026"/>
      <c r="Y124" s="1026"/>
      <c r="Z124" s="1026"/>
      <c r="AA124" s="1026"/>
      <c r="AB124" s="1026"/>
      <c r="AC124" s="1026"/>
      <c r="AD124" s="1026"/>
      <c r="AE124" s="1026"/>
      <c r="AF124" s="1026"/>
      <c r="AG124" s="1026"/>
      <c r="AH124" s="1026"/>
      <c r="AI124" s="1026"/>
      <c r="AJ124" s="1026"/>
      <c r="AK124" s="1026"/>
    </row>
    <row r="125" spans="1:37">
      <c r="A125" s="998" t="s">
        <v>482</v>
      </c>
      <c r="D125" s="1026">
        <f>'Sources and Use'!C12</f>
        <v>0</v>
      </c>
      <c r="E125" s="1026"/>
      <c r="F125" s="1026"/>
      <c r="G125" s="1026"/>
      <c r="H125" s="1026"/>
      <c r="I125" s="1026"/>
      <c r="J125" s="1026"/>
      <c r="K125" s="1026"/>
      <c r="L125" s="1026"/>
      <c r="M125" s="1026"/>
      <c r="N125" s="1026"/>
      <c r="O125" s="1026"/>
      <c r="P125" s="1026"/>
      <c r="Q125" s="1026"/>
      <c r="R125" s="1026"/>
      <c r="S125" s="1026"/>
      <c r="T125" s="1026"/>
      <c r="U125" s="1026"/>
      <c r="V125" s="1026"/>
      <c r="W125" s="1026"/>
      <c r="X125" s="1026"/>
      <c r="Y125" s="1026"/>
      <c r="Z125" s="1026"/>
      <c r="AA125" s="1026"/>
      <c r="AB125" s="1026"/>
      <c r="AC125" s="1026"/>
      <c r="AD125" s="1026"/>
      <c r="AE125" s="1026"/>
      <c r="AF125" s="1026"/>
      <c r="AG125" s="1026"/>
      <c r="AH125" s="1026"/>
      <c r="AI125" s="1026"/>
      <c r="AJ125" s="1026"/>
      <c r="AK125" s="1026">
        <f t="shared" si="47"/>
        <v>0</v>
      </c>
    </row>
    <row r="126" spans="1:37" hidden="1">
      <c r="A126" s="998">
        <v>0</v>
      </c>
      <c r="D126" s="1026">
        <f>'Sources and Use'!C13</f>
        <v>0</v>
      </c>
      <c r="E126" s="1026"/>
      <c r="F126" s="1026">
        <f>D126/2</f>
        <v>0</v>
      </c>
      <c r="G126" s="1026">
        <f t="shared" ref="G126:AJ126" si="49">E126/2</f>
        <v>0</v>
      </c>
      <c r="H126" s="1026">
        <f t="shared" si="49"/>
        <v>0</v>
      </c>
      <c r="I126" s="1026">
        <f t="shared" si="49"/>
        <v>0</v>
      </c>
      <c r="J126" s="1026">
        <f t="shared" si="49"/>
        <v>0</v>
      </c>
      <c r="K126" s="1026">
        <f t="shared" si="49"/>
        <v>0</v>
      </c>
      <c r="L126" s="1026">
        <f t="shared" si="49"/>
        <v>0</v>
      </c>
      <c r="M126" s="1026">
        <f t="shared" si="49"/>
        <v>0</v>
      </c>
      <c r="N126" s="1026">
        <f t="shared" si="49"/>
        <v>0</v>
      </c>
      <c r="O126" s="1026">
        <f t="shared" si="49"/>
        <v>0</v>
      </c>
      <c r="P126" s="1026">
        <f t="shared" si="49"/>
        <v>0</v>
      </c>
      <c r="Q126" s="1026">
        <f t="shared" si="49"/>
        <v>0</v>
      </c>
      <c r="R126" s="1026">
        <f t="shared" si="49"/>
        <v>0</v>
      </c>
      <c r="S126" s="1026">
        <f t="shared" si="49"/>
        <v>0</v>
      </c>
      <c r="T126" s="1026">
        <f t="shared" si="49"/>
        <v>0</v>
      </c>
      <c r="U126" s="1026">
        <f t="shared" si="49"/>
        <v>0</v>
      </c>
      <c r="V126" s="1026">
        <f t="shared" si="49"/>
        <v>0</v>
      </c>
      <c r="W126" s="1026">
        <f t="shared" si="49"/>
        <v>0</v>
      </c>
      <c r="X126" s="1026">
        <f t="shared" si="49"/>
        <v>0</v>
      </c>
      <c r="Y126" s="1026">
        <f t="shared" si="49"/>
        <v>0</v>
      </c>
      <c r="Z126" s="1026">
        <f t="shared" si="49"/>
        <v>0</v>
      </c>
      <c r="AA126" s="1026">
        <f t="shared" si="49"/>
        <v>0</v>
      </c>
      <c r="AB126" s="1026">
        <f t="shared" si="49"/>
        <v>0</v>
      </c>
      <c r="AC126" s="1026">
        <f t="shared" si="49"/>
        <v>0</v>
      </c>
      <c r="AD126" s="1026">
        <f t="shared" si="49"/>
        <v>0</v>
      </c>
      <c r="AE126" s="1026">
        <f t="shared" si="49"/>
        <v>0</v>
      </c>
      <c r="AF126" s="1026">
        <f t="shared" si="49"/>
        <v>0</v>
      </c>
      <c r="AG126" s="1026">
        <f t="shared" si="49"/>
        <v>0</v>
      </c>
      <c r="AH126" s="1026">
        <f t="shared" si="49"/>
        <v>0</v>
      </c>
      <c r="AI126" s="1026">
        <f t="shared" si="49"/>
        <v>0</v>
      </c>
      <c r="AJ126" s="1026">
        <f t="shared" si="49"/>
        <v>0</v>
      </c>
      <c r="AK126" s="1026">
        <f t="shared" si="47"/>
        <v>0</v>
      </c>
    </row>
    <row r="127" spans="1:37">
      <c r="A127" s="998" t="s">
        <v>281</v>
      </c>
      <c r="B127" s="938" t="s">
        <v>281</v>
      </c>
      <c r="D127" s="1026">
        <f ca="1">'Sources and Use'!C14</f>
        <v>1483946</v>
      </c>
      <c r="E127" s="1026"/>
      <c r="F127" s="1026">
        <f t="shared" ref="F127:AJ127" ca="1" si="50">SUMIF($B$10:$B$117, $B127, F$10:F$117)</f>
        <v>839763.77705341671</v>
      </c>
      <c r="G127" s="1026">
        <f t="shared" si="50"/>
        <v>57125</v>
      </c>
      <c r="H127" s="1026">
        <f t="shared" si="50"/>
        <v>54625</v>
      </c>
      <c r="I127" s="1026">
        <f t="shared" si="50"/>
        <v>54625</v>
      </c>
      <c r="J127" s="1026">
        <f t="shared" si="50"/>
        <v>54625</v>
      </c>
      <c r="K127" s="1026">
        <f t="shared" si="50"/>
        <v>20625</v>
      </c>
      <c r="L127" s="1026">
        <f t="shared" si="50"/>
        <v>20625</v>
      </c>
      <c r="M127" s="1026">
        <f t="shared" si="50"/>
        <v>20625</v>
      </c>
      <c r="N127" s="1026">
        <f t="shared" si="50"/>
        <v>20625</v>
      </c>
      <c r="O127" s="1026">
        <f t="shared" si="50"/>
        <v>20625</v>
      </c>
      <c r="P127" s="1026">
        <f t="shared" si="50"/>
        <v>20625</v>
      </c>
      <c r="Q127" s="1026">
        <f t="shared" si="50"/>
        <v>20625</v>
      </c>
      <c r="R127" s="1026">
        <f t="shared" si="50"/>
        <v>20625</v>
      </c>
      <c r="S127" s="1026">
        <f t="shared" si="50"/>
        <v>20625</v>
      </c>
      <c r="T127" s="1026">
        <f t="shared" si="50"/>
        <v>20625</v>
      </c>
      <c r="U127" s="1026">
        <f t="shared" si="50"/>
        <v>20625</v>
      </c>
      <c r="V127" s="1026">
        <f t="shared" si="50"/>
        <v>20625</v>
      </c>
      <c r="W127" s="1026">
        <f t="shared" si="50"/>
        <v>20625</v>
      </c>
      <c r="X127" s="1026">
        <f t="shared" si="50"/>
        <v>20625</v>
      </c>
      <c r="Y127" s="1026">
        <f t="shared" si="50"/>
        <v>20625</v>
      </c>
      <c r="Z127" s="1026">
        <f t="shared" si="50"/>
        <v>20625</v>
      </c>
      <c r="AA127" s="1026">
        <f t="shared" ca="1" si="50"/>
        <v>21477.333441987495</v>
      </c>
      <c r="AB127" s="1026">
        <f t="shared" ca="1" si="50"/>
        <v>21477.333441987495</v>
      </c>
      <c r="AC127" s="1026">
        <f t="shared" ca="1" si="50"/>
        <v>21477.333441987495</v>
      </c>
      <c r="AD127" s="1026">
        <f t="shared" ca="1" si="50"/>
        <v>26477.333441987612</v>
      </c>
      <c r="AE127" s="1026">
        <f t="shared" ca="1" si="50"/>
        <v>852.33344198749398</v>
      </c>
      <c r="AF127" s="1026">
        <f t="shared" ca="1" si="50"/>
        <v>852.33344198749398</v>
      </c>
      <c r="AG127" s="1026">
        <f t="shared" ca="1" si="50"/>
        <v>568.2222946583297</v>
      </c>
      <c r="AH127" s="1026">
        <f t="shared" si="50"/>
        <v>0</v>
      </c>
      <c r="AI127" s="1026">
        <f t="shared" si="50"/>
        <v>0</v>
      </c>
      <c r="AJ127" s="1026">
        <f t="shared" ca="1" si="50"/>
        <v>0</v>
      </c>
      <c r="AK127" s="1026">
        <f ca="1">D127-SUM(F127:AJ127)</f>
        <v>0</v>
      </c>
    </row>
    <row r="128" spans="1:37" hidden="1">
      <c r="A128" s="998" t="s">
        <v>113</v>
      </c>
      <c r="D128" s="1026">
        <f>'Sources and Use'!C15</f>
        <v>0</v>
      </c>
      <c r="E128" s="1026"/>
      <c r="F128" s="1026">
        <f>F89</f>
        <v>0</v>
      </c>
      <c r="G128" s="1026"/>
      <c r="H128" s="1026"/>
      <c r="I128" s="1026"/>
      <c r="J128" s="1026"/>
      <c r="K128" s="1026"/>
      <c r="L128" s="1026"/>
      <c r="M128" s="1026"/>
      <c r="N128" s="1026"/>
      <c r="O128" s="1026"/>
      <c r="P128" s="1026"/>
      <c r="Q128" s="1026"/>
      <c r="R128" s="1026"/>
      <c r="S128" s="1026"/>
      <c r="T128" s="1026"/>
      <c r="U128" s="1026"/>
      <c r="V128" s="1026"/>
      <c r="W128" s="1026"/>
      <c r="X128" s="1026"/>
      <c r="Y128" s="1026"/>
      <c r="Z128" s="1026"/>
      <c r="AA128" s="1026"/>
      <c r="AB128" s="1026"/>
      <c r="AC128" s="1026"/>
      <c r="AD128" s="1026"/>
      <c r="AE128" s="1026"/>
      <c r="AF128" s="1026"/>
      <c r="AG128" s="1026"/>
      <c r="AH128" s="1026"/>
      <c r="AI128" s="1026"/>
      <c r="AJ128" s="1026"/>
      <c r="AK128" s="1026">
        <f t="shared" si="47"/>
        <v>0</v>
      </c>
    </row>
    <row r="129" spans="1:37">
      <c r="A129" s="998" t="s">
        <v>348</v>
      </c>
      <c r="B129" s="938" t="s">
        <v>608</v>
      </c>
      <c r="D129" s="1026">
        <f>'Sources and Use'!C16</f>
        <v>165000</v>
      </c>
      <c r="E129" s="1026"/>
      <c r="F129" s="1026">
        <f t="shared" ref="F129:O130" si="51">SUMIF($B$10:$B$117, $B129, F$10:F$117)</f>
        <v>0</v>
      </c>
      <c r="G129" s="1026">
        <f t="shared" si="51"/>
        <v>383.33333333333331</v>
      </c>
      <c r="H129" s="1026">
        <f t="shared" si="51"/>
        <v>862.5</v>
      </c>
      <c r="I129" s="1026">
        <f t="shared" si="51"/>
        <v>1533.3333333333333</v>
      </c>
      <c r="J129" s="1026">
        <f t="shared" si="51"/>
        <v>1916.6666666666667</v>
      </c>
      <c r="K129" s="1026">
        <f t="shared" si="51"/>
        <v>2085.7843137254904</v>
      </c>
      <c r="L129" s="1026">
        <f t="shared" si="51"/>
        <v>2424.0196078431377</v>
      </c>
      <c r="M129" s="1026">
        <f t="shared" si="51"/>
        <v>2931.372549019608</v>
      </c>
      <c r="N129" s="1026">
        <f t="shared" si="51"/>
        <v>3438.7254901960787</v>
      </c>
      <c r="O129" s="1026">
        <f t="shared" si="51"/>
        <v>3607.8431372549021</v>
      </c>
      <c r="P129" s="1026">
        <f t="shared" ref="P129:Y130" si="52">SUMIF($B$10:$B$117, $B129, P$10:P$117)</f>
        <v>3833.3333333333335</v>
      </c>
      <c r="Q129" s="1026">
        <f t="shared" si="52"/>
        <v>4509.8039215686276</v>
      </c>
      <c r="R129" s="1026">
        <f t="shared" si="52"/>
        <v>5411.7647058823522</v>
      </c>
      <c r="S129" s="1026">
        <f t="shared" si="52"/>
        <v>5862.7450980392159</v>
      </c>
      <c r="T129" s="1026">
        <f t="shared" si="52"/>
        <v>6133.3333333333321</v>
      </c>
      <c r="U129" s="1026">
        <f t="shared" si="52"/>
        <v>6584.3137254901958</v>
      </c>
      <c r="V129" s="1026">
        <f t="shared" si="52"/>
        <v>7305.8823529411757</v>
      </c>
      <c r="W129" s="1026">
        <f t="shared" si="52"/>
        <v>7666.666666666667</v>
      </c>
      <c r="X129" s="1026">
        <f t="shared" si="52"/>
        <v>7966.666666666667</v>
      </c>
      <c r="Y129" s="1026">
        <f t="shared" si="52"/>
        <v>8266.6666666666661</v>
      </c>
      <c r="Z129" s="1026">
        <f t="shared" ref="Z129:AJ130" si="53">SUMIF($B$10:$B$117, $B129, Z$10:Z$117)</f>
        <v>8566.6666666666661</v>
      </c>
      <c r="AA129" s="1026">
        <f t="shared" si="53"/>
        <v>8866.6666666666661</v>
      </c>
      <c r="AB129" s="1026">
        <f t="shared" si="53"/>
        <v>9166.6666666666661</v>
      </c>
      <c r="AC129" s="1026">
        <f t="shared" si="53"/>
        <v>9166.6666666666661</v>
      </c>
      <c r="AD129" s="1026">
        <f t="shared" si="53"/>
        <v>9166.6666666666661</v>
      </c>
      <c r="AE129" s="1026">
        <f t="shared" si="53"/>
        <v>9166.6666666666661</v>
      </c>
      <c r="AF129" s="1026">
        <f t="shared" si="53"/>
        <v>9166.6666666666661</v>
      </c>
      <c r="AG129" s="1026">
        <f t="shared" si="53"/>
        <v>9166.6666666666661</v>
      </c>
      <c r="AH129" s="1026">
        <f t="shared" si="53"/>
        <v>9166.6666666666661</v>
      </c>
      <c r="AI129" s="1026">
        <f t="shared" si="53"/>
        <v>9166.6666666666661</v>
      </c>
      <c r="AJ129" s="1026">
        <f t="shared" si="53"/>
        <v>-8491.4215686274401</v>
      </c>
      <c r="AK129" s="1026">
        <f t="shared" si="47"/>
        <v>0</v>
      </c>
    </row>
    <row r="130" spans="1:37">
      <c r="A130" s="998" t="s">
        <v>19</v>
      </c>
      <c r="B130" s="938" t="s">
        <v>607</v>
      </c>
      <c r="D130" s="1026">
        <f>'Sources and Use'!C17</f>
        <v>2045228</v>
      </c>
      <c r="E130" s="1026"/>
      <c r="F130" s="1026">
        <f t="shared" si="51"/>
        <v>0</v>
      </c>
      <c r="G130" s="1026">
        <f t="shared" si="51"/>
        <v>0</v>
      </c>
      <c r="H130" s="1026">
        <f t="shared" si="51"/>
        <v>0</v>
      </c>
      <c r="I130" s="1026">
        <f t="shared" si="51"/>
        <v>0</v>
      </c>
      <c r="J130" s="1026">
        <f t="shared" si="51"/>
        <v>0</v>
      </c>
      <c r="K130" s="1026">
        <f t="shared" si="51"/>
        <v>0</v>
      </c>
      <c r="L130" s="1026">
        <f t="shared" si="51"/>
        <v>0</v>
      </c>
      <c r="M130" s="1026">
        <f t="shared" si="51"/>
        <v>0</v>
      </c>
      <c r="N130" s="1026">
        <f t="shared" si="51"/>
        <v>0</v>
      </c>
      <c r="O130" s="1026">
        <f t="shared" si="51"/>
        <v>0</v>
      </c>
      <c r="P130" s="1026">
        <f t="shared" si="52"/>
        <v>0</v>
      </c>
      <c r="Q130" s="1026">
        <f t="shared" si="52"/>
        <v>0</v>
      </c>
      <c r="R130" s="1026">
        <f t="shared" si="52"/>
        <v>0</v>
      </c>
      <c r="S130" s="1026">
        <f t="shared" si="52"/>
        <v>0</v>
      </c>
      <c r="T130" s="1026">
        <f t="shared" si="52"/>
        <v>0</v>
      </c>
      <c r="U130" s="1026">
        <f t="shared" si="52"/>
        <v>0</v>
      </c>
      <c r="V130" s="1026">
        <f t="shared" si="52"/>
        <v>0</v>
      </c>
      <c r="W130" s="1026">
        <f t="shared" si="52"/>
        <v>0</v>
      </c>
      <c r="X130" s="1026">
        <f t="shared" si="52"/>
        <v>0</v>
      </c>
      <c r="Y130" s="1026">
        <f t="shared" si="52"/>
        <v>0</v>
      </c>
      <c r="Z130" s="1026">
        <f t="shared" si="53"/>
        <v>0</v>
      </c>
      <c r="AA130" s="1026">
        <f t="shared" si="53"/>
        <v>0</v>
      </c>
      <c r="AB130" s="1026">
        <f t="shared" si="53"/>
        <v>0</v>
      </c>
      <c r="AC130" s="1026">
        <f t="shared" si="53"/>
        <v>0</v>
      </c>
      <c r="AD130" s="1026">
        <f t="shared" si="53"/>
        <v>0</v>
      </c>
      <c r="AE130" s="1026">
        <f t="shared" si="53"/>
        <v>0</v>
      </c>
      <c r="AF130" s="1026">
        <f t="shared" si="53"/>
        <v>0</v>
      </c>
      <c r="AG130" s="1026">
        <f t="shared" si="53"/>
        <v>0</v>
      </c>
      <c r="AH130" s="1026">
        <f t="shared" si="53"/>
        <v>0</v>
      </c>
      <c r="AI130" s="1026">
        <f t="shared" si="53"/>
        <v>0</v>
      </c>
      <c r="AJ130" s="1026">
        <f t="shared" si="53"/>
        <v>2045228</v>
      </c>
      <c r="AK130" s="1026">
        <f t="shared" si="47"/>
        <v>0</v>
      </c>
    </row>
    <row r="131" spans="1:37">
      <c r="A131" s="998" t="s">
        <v>280</v>
      </c>
      <c r="B131" s="938" t="s">
        <v>609</v>
      </c>
      <c r="D131" s="1026">
        <f>'Sources and Use'!C18</f>
        <v>4500000</v>
      </c>
      <c r="E131" s="1026"/>
      <c r="F131" s="1026">
        <f t="shared" ref="F131:AI131" si="54">SUMIF($B$10:$B$117, $B131, F$10:F$117)</f>
        <v>0</v>
      </c>
      <c r="G131" s="1026">
        <f t="shared" si="54"/>
        <v>0</v>
      </c>
      <c r="H131" s="1026">
        <f t="shared" si="54"/>
        <v>0</v>
      </c>
      <c r="I131" s="1026">
        <f t="shared" si="54"/>
        <v>0</v>
      </c>
      <c r="J131" s="1026">
        <f t="shared" si="54"/>
        <v>0</v>
      </c>
      <c r="K131" s="1026">
        <f t="shared" si="54"/>
        <v>0</v>
      </c>
      <c r="L131" s="1026">
        <f t="shared" si="54"/>
        <v>0</v>
      </c>
      <c r="M131" s="1026">
        <f t="shared" si="54"/>
        <v>0</v>
      </c>
      <c r="N131" s="1026">
        <f t="shared" si="54"/>
        <v>0</v>
      </c>
      <c r="O131" s="1026">
        <f t="shared" si="54"/>
        <v>0</v>
      </c>
      <c r="P131" s="1026">
        <f t="shared" si="54"/>
        <v>0</v>
      </c>
      <c r="Q131" s="1026">
        <f t="shared" si="54"/>
        <v>0</v>
      </c>
      <c r="R131" s="1026">
        <f t="shared" si="54"/>
        <v>0</v>
      </c>
      <c r="S131" s="1026">
        <f t="shared" si="54"/>
        <v>0</v>
      </c>
      <c r="T131" s="1026">
        <f t="shared" si="54"/>
        <v>0</v>
      </c>
      <c r="U131" s="1026">
        <f t="shared" si="54"/>
        <v>0</v>
      </c>
      <c r="V131" s="1026">
        <f t="shared" si="54"/>
        <v>0</v>
      </c>
      <c r="W131" s="1026">
        <f t="shared" si="54"/>
        <v>0</v>
      </c>
      <c r="X131" s="1026">
        <f t="shared" si="54"/>
        <v>0</v>
      </c>
      <c r="Y131" s="1026">
        <f t="shared" si="54"/>
        <v>0</v>
      </c>
      <c r="Z131" s="1026">
        <f t="shared" si="54"/>
        <v>0</v>
      </c>
      <c r="AA131" s="1026">
        <f t="shared" si="54"/>
        <v>0</v>
      </c>
      <c r="AB131" s="1026">
        <f t="shared" si="54"/>
        <v>0</v>
      </c>
      <c r="AC131" s="1026">
        <f t="shared" si="54"/>
        <v>0</v>
      </c>
      <c r="AD131" s="1026">
        <f t="shared" si="54"/>
        <v>0</v>
      </c>
      <c r="AE131" s="1026">
        <f t="shared" si="54"/>
        <v>0</v>
      </c>
      <c r="AF131" s="1026">
        <f t="shared" si="54"/>
        <v>0</v>
      </c>
      <c r="AG131" s="1026">
        <f t="shared" si="54"/>
        <v>0</v>
      </c>
      <c r="AH131" s="1026">
        <f t="shared" si="54"/>
        <v>0</v>
      </c>
      <c r="AI131" s="1026">
        <f t="shared" si="54"/>
        <v>0</v>
      </c>
      <c r="AJ131" s="1026">
        <f>SUMIF($B$10:$B$117, $B131, AJ$10:AJ$117)</f>
        <v>4500000</v>
      </c>
      <c r="AK131" s="1026">
        <f t="shared" si="47"/>
        <v>0</v>
      </c>
    </row>
    <row r="132" spans="1:37">
      <c r="A132" s="937" t="s">
        <v>107</v>
      </c>
      <c r="B132" s="937"/>
      <c r="D132" s="1043">
        <f ca="1">SUM(D120:D131)</f>
        <v>41294174</v>
      </c>
      <c r="E132" s="1001"/>
      <c r="F132" s="1026">
        <f ca="1">SUM(F120:F130)</f>
        <v>7112060.9670318235</v>
      </c>
      <c r="G132" s="1026">
        <f ca="1">SUM(G120:G131)</f>
        <v>1058776.1709483059</v>
      </c>
      <c r="H132" s="1026">
        <f t="shared" ref="H132:AI132" ca="1" si="55">SUM(H120:H131)</f>
        <v>1193791.7260568761</v>
      </c>
      <c r="I132" s="1026">
        <f t="shared" ca="1" si="55"/>
        <v>1624521.8155661796</v>
      </c>
      <c r="J132" s="1026">
        <f t="shared" ca="1" si="55"/>
        <v>1252831.8622142947</v>
      </c>
      <c r="K132" s="1026">
        <f t="shared" ca="1" si="55"/>
        <v>475934.20539034932</v>
      </c>
      <c r="L132" s="1026">
        <f t="shared" ca="1" si="55"/>
        <v>955737.73336433468</v>
      </c>
      <c r="M132" s="1026">
        <f t="shared" ca="1" si="55"/>
        <v>1515730.6137812336</v>
      </c>
      <c r="N132" s="1026">
        <f t="shared" ca="1" si="55"/>
        <v>1507381.6935501108</v>
      </c>
      <c r="O132" s="1026">
        <f t="shared" ca="1" si="55"/>
        <v>490154.73181174463</v>
      </c>
      <c r="P132" s="1026">
        <f t="shared" ca="1" si="55"/>
        <v>649048.37659986492</v>
      </c>
      <c r="Q132" s="1026">
        <f t="shared" ca="1" si="55"/>
        <v>1625791.4484028509</v>
      </c>
      <c r="R132" s="1026">
        <f t="shared" ca="1" si="55"/>
        <v>2668281.7978054713</v>
      </c>
      <c r="S132" s="1026">
        <f t="shared" ca="1" si="55"/>
        <v>1133792.7204970855</v>
      </c>
      <c r="T132" s="1026">
        <f t="shared" ca="1" si="55"/>
        <v>941505.2424222104</v>
      </c>
      <c r="U132" s="1026">
        <f t="shared" ca="1" si="55"/>
        <v>1221851.2348632254</v>
      </c>
      <c r="V132" s="1026">
        <f t="shared" ca="1" si="55"/>
        <v>1746622.6130302637</v>
      </c>
      <c r="W132" s="1026">
        <f t="shared" ca="1" si="55"/>
        <v>1075623.8248412851</v>
      </c>
      <c r="X132" s="1026">
        <f t="shared" ca="1" si="55"/>
        <v>864755.09168572712</v>
      </c>
      <c r="Y132" s="1026">
        <f t="shared" ca="1" si="55"/>
        <v>923625.01396614162</v>
      </c>
      <c r="Z132" s="1026">
        <f t="shared" ca="1" si="55"/>
        <v>867492.73508454941</v>
      </c>
      <c r="AA132" s="1026">
        <f t="shared" ca="1" si="55"/>
        <v>872049.8427622728</v>
      </c>
      <c r="AB132" s="1026">
        <f t="shared" ca="1" si="55"/>
        <v>874365.34838007041</v>
      </c>
      <c r="AC132" s="1026">
        <f t="shared" ca="1" si="55"/>
        <v>673924.43351928145</v>
      </c>
      <c r="AD132" s="1026">
        <f t="shared" ca="1" si="55"/>
        <v>500827.31399380299</v>
      </c>
      <c r="AE132" s="1026">
        <f t="shared" ca="1" si="55"/>
        <v>95092.587273657045</v>
      </c>
      <c r="AF132" s="1026">
        <f t="shared" ca="1" si="55"/>
        <v>95448.543705309785</v>
      </c>
      <c r="AG132" s="1026">
        <f t="shared" ca="1" si="55"/>
        <v>95054.040168673731</v>
      </c>
      <c r="AH132" s="1026">
        <f t="shared" ca="1" si="55"/>
        <v>93907.125413452013</v>
      </c>
      <c r="AI132" s="1026">
        <f t="shared" ca="1" si="55"/>
        <v>94261.688002350696</v>
      </c>
      <c r="AJ132" s="1026">
        <f ca="1">SUM(AJ120:AJ131)</f>
        <v>6993931.0199407823</v>
      </c>
      <c r="AK132" s="1026">
        <f t="shared" ca="1" si="47"/>
        <v>0.43792642652988434</v>
      </c>
    </row>
    <row r="133" spans="1:37" s="1096" customFormat="1" ht="10.15">
      <c r="A133" s="1095" t="s">
        <v>452</v>
      </c>
      <c r="D133" s="1097"/>
      <c r="E133" s="1097"/>
      <c r="F133" s="1097">
        <f t="shared" ref="F133:AJ133" ca="1" si="56">F117-F132</f>
        <v>0</v>
      </c>
      <c r="G133" s="1097">
        <f t="shared" ca="1" si="56"/>
        <v>0</v>
      </c>
      <c r="H133" s="1097">
        <f t="shared" ca="1" si="56"/>
        <v>0</v>
      </c>
      <c r="I133" s="1097">
        <f t="shared" ca="1" si="56"/>
        <v>0</v>
      </c>
      <c r="J133" s="1097">
        <f t="shared" ca="1" si="56"/>
        <v>34</v>
      </c>
      <c r="K133" s="1097">
        <f t="shared" ca="1" si="56"/>
        <v>0</v>
      </c>
      <c r="L133" s="1097">
        <f t="shared" ca="1" si="56"/>
        <v>0</v>
      </c>
      <c r="M133" s="1097">
        <f t="shared" ca="1" si="56"/>
        <v>0</v>
      </c>
      <c r="N133" s="1097">
        <f t="shared" ca="1" si="56"/>
        <v>0</v>
      </c>
      <c r="O133" s="1097">
        <f t="shared" ca="1" si="56"/>
        <v>29.999999999883585</v>
      </c>
      <c r="P133" s="1097">
        <f t="shared" ca="1" si="56"/>
        <v>0</v>
      </c>
      <c r="Q133" s="1097">
        <f t="shared" ca="1" si="56"/>
        <v>0</v>
      </c>
      <c r="R133" s="1097">
        <f t="shared" ca="1" si="56"/>
        <v>0</v>
      </c>
      <c r="S133" s="1097">
        <f t="shared" ca="1" si="56"/>
        <v>39.999999999767169</v>
      </c>
      <c r="T133" s="1097">
        <f t="shared" ca="1" si="56"/>
        <v>0</v>
      </c>
      <c r="U133" s="1097">
        <f t="shared" ca="1" si="56"/>
        <v>0</v>
      </c>
      <c r="V133" s="1097">
        <f t="shared" ca="1" si="56"/>
        <v>0</v>
      </c>
      <c r="W133" s="1097">
        <f t="shared" ca="1" si="56"/>
        <v>32</v>
      </c>
      <c r="X133" s="1097">
        <f t="shared" ca="1" si="56"/>
        <v>0</v>
      </c>
      <c r="Y133" s="1097">
        <f t="shared" ca="1" si="56"/>
        <v>0</v>
      </c>
      <c r="Z133" s="1097">
        <f t="shared" ca="1" si="56"/>
        <v>0</v>
      </c>
      <c r="AA133" s="1097">
        <f t="shared" ca="1" si="56"/>
        <v>0</v>
      </c>
      <c r="AB133" s="1097">
        <f t="shared" ca="1" si="56"/>
        <v>0</v>
      </c>
      <c r="AC133" s="1097">
        <f t="shared" ca="1" si="56"/>
        <v>0</v>
      </c>
      <c r="AD133" s="1097">
        <f t="shared" ca="1" si="56"/>
        <v>0</v>
      </c>
      <c r="AE133" s="1097">
        <f t="shared" ca="1" si="56"/>
        <v>0</v>
      </c>
      <c r="AF133" s="1097">
        <f t="shared" ca="1" si="56"/>
        <v>0</v>
      </c>
      <c r="AG133" s="1097">
        <f t="shared" ca="1" si="56"/>
        <v>0</v>
      </c>
      <c r="AH133" s="1097">
        <f t="shared" ca="1" si="56"/>
        <v>0</v>
      </c>
      <c r="AI133" s="1097">
        <f t="shared" ca="1" si="56"/>
        <v>0</v>
      </c>
      <c r="AJ133" s="1097">
        <f t="shared" ca="1" si="56"/>
        <v>0</v>
      </c>
      <c r="AK133" s="1097">
        <f ca="1">D133-SUM(F133:AJ133)</f>
        <v>-135.99999999965075</v>
      </c>
    </row>
    <row r="135" spans="1:37">
      <c r="F135" s="938" t="s">
        <v>457</v>
      </c>
      <c r="G135" s="938" t="s">
        <v>458</v>
      </c>
      <c r="H135" s="938" t="s">
        <v>459</v>
      </c>
      <c r="I135" s="938" t="s">
        <v>205</v>
      </c>
      <c r="J135" s="984" t="s">
        <v>452</v>
      </c>
    </row>
    <row r="136" spans="1:37">
      <c r="A136" s="742" t="s">
        <v>82</v>
      </c>
      <c r="B136" s="743"/>
      <c r="D136" s="744">
        <f>'Sources and Use'!C37</f>
        <v>2500000</v>
      </c>
      <c r="E136" s="1026"/>
      <c r="F136" s="1026">
        <f>D136</f>
        <v>2500000</v>
      </c>
      <c r="G136" s="1026">
        <f>SUM(G10:AD10)</f>
        <v>0</v>
      </c>
      <c r="H136" s="1026">
        <f>SUM(AE10:AI10)</f>
        <v>0</v>
      </c>
      <c r="I136" s="1026">
        <f>AJ10</f>
        <v>0</v>
      </c>
      <c r="J136" s="1044">
        <f>D136-SUM(F136:I136)</f>
        <v>0</v>
      </c>
    </row>
    <row r="137" spans="1:37">
      <c r="A137" s="742" t="s">
        <v>46</v>
      </c>
      <c r="B137" s="743"/>
      <c r="D137" s="744">
        <f>'Sources and Use'!C38</f>
        <v>22742658</v>
      </c>
      <c r="E137" s="1026"/>
      <c r="F137" s="1026">
        <f>SUM(F15,F44)</f>
        <v>0</v>
      </c>
      <c r="G137" s="1026">
        <f>SUM(G15:AJ15,G44:AJ44)</f>
        <v>13067515</v>
      </c>
      <c r="H137" s="1026">
        <f>SUM(AE15:AI44)</f>
        <v>0</v>
      </c>
      <c r="I137" s="1026">
        <f>SUM(AJ15:AJ44)</f>
        <v>0</v>
      </c>
      <c r="J137" s="1044">
        <f t="shared" ref="J137:J143" si="57">D137-SUM(F137:I137)</f>
        <v>9675143</v>
      </c>
    </row>
    <row r="138" spans="1:37">
      <c r="A138" s="742" t="s">
        <v>44</v>
      </c>
      <c r="B138" s="743"/>
      <c r="D138" s="744">
        <f ca="1">'Sources and Use'!C39</f>
        <v>2403000</v>
      </c>
      <c r="E138" s="1026"/>
      <c r="F138" s="1026">
        <f ca="1">SUM(F48:F63)</f>
        <v>1834270</v>
      </c>
      <c r="G138" s="1026">
        <f>SUM(G48:AD63)</f>
        <v>423500.00000000006</v>
      </c>
      <c r="H138" s="1026">
        <f>SUM(AE48:AI63)</f>
        <v>0</v>
      </c>
      <c r="I138" s="1026">
        <f ca="1">SUM(AJ48:AJ63)</f>
        <v>145230</v>
      </c>
      <c r="J138" s="1044">
        <f t="shared" ca="1" si="57"/>
        <v>0</v>
      </c>
    </row>
    <row r="139" spans="1:37">
      <c r="A139" s="742" t="s">
        <v>45</v>
      </c>
      <c r="B139" s="743"/>
      <c r="D139" s="744">
        <f ca="1">'Sources and Use'!C40</f>
        <v>1594270.5</v>
      </c>
      <c r="E139" s="1026"/>
      <c r="F139" s="1026">
        <f ca="1">SUM(F67:F84)</f>
        <v>976808</v>
      </c>
      <c r="G139" s="1026">
        <f>SUM(G67:AD84)</f>
        <v>508400.00000000012</v>
      </c>
      <c r="H139" s="1026">
        <f>SUM(AE67:AI84)</f>
        <v>0</v>
      </c>
      <c r="I139" s="1026">
        <f ca="1">SUM(AJ67:AJ84)</f>
        <v>109062.5</v>
      </c>
      <c r="J139" s="1044">
        <f t="shared" ca="1" si="57"/>
        <v>0</v>
      </c>
    </row>
    <row r="140" spans="1:37">
      <c r="A140" s="742" t="s">
        <v>80</v>
      </c>
      <c r="B140" s="743"/>
      <c r="D140" s="744">
        <f ca="1">'Sources and Use'!C41</f>
        <v>4424765.06207358</v>
      </c>
      <c r="E140" s="1026"/>
      <c r="F140" s="1026">
        <f ca="1">SUM(F88:F102)</f>
        <v>1300982.9670318235</v>
      </c>
      <c r="G140" s="1026">
        <f ca="1">SUM(G88:AD102)</f>
        <v>2572457.9905375373</v>
      </c>
      <c r="H140" s="1026">
        <f ca="1">SUM(AE88:AI102)</f>
        <v>473763.98456344329</v>
      </c>
      <c r="I140" s="1026">
        <f ca="1">SUM(AJ88:AJ102)</f>
        <v>77560.119940782024</v>
      </c>
      <c r="J140" s="1044">
        <f t="shared" ca="1" si="57"/>
        <v>0</v>
      </c>
    </row>
    <row r="141" spans="1:37">
      <c r="A141" s="742" t="s">
        <v>73</v>
      </c>
      <c r="B141" s="743"/>
      <c r="D141" s="744">
        <f ca="1">'Sources and Use'!C42</f>
        <v>2629480</v>
      </c>
      <c r="E141" s="1026"/>
      <c r="F141" s="1026">
        <f>SUM(F106:F111)</f>
        <v>0</v>
      </c>
      <c r="G141" s="1026">
        <f ca="1">SUM(G106:AD111)</f>
        <v>467401.60000000003</v>
      </c>
      <c r="H141" s="1026">
        <f>SUM(AE106:AI111)</f>
        <v>0</v>
      </c>
      <c r="I141" s="1026">
        <f ca="1">SUM(AJ106:AJ111)</f>
        <v>2162078.4</v>
      </c>
      <c r="J141" s="1044">
        <f t="shared" ca="1" si="57"/>
        <v>0</v>
      </c>
      <c r="R141" s="1026"/>
    </row>
    <row r="142" spans="1:37">
      <c r="A142" s="742" t="s">
        <v>256</v>
      </c>
      <c r="B142" s="743"/>
      <c r="C142" s="743"/>
      <c r="D142" s="849">
        <f>'Sources and Use'!C43</f>
        <v>5000000</v>
      </c>
      <c r="E142" s="1045"/>
      <c r="F142" s="1045">
        <f>F115</f>
        <v>500000</v>
      </c>
      <c r="G142" s="1045">
        <f>SUM(G115:AD115)</f>
        <v>0</v>
      </c>
      <c r="H142" s="1045">
        <f>SUM(AE115:AI115)</f>
        <v>0</v>
      </c>
      <c r="I142" s="1045">
        <f>AJ115</f>
        <v>0</v>
      </c>
      <c r="J142" s="1046">
        <f t="shared" si="57"/>
        <v>4500000</v>
      </c>
      <c r="R142" s="1026"/>
    </row>
    <row r="143" spans="1:37">
      <c r="A143" s="745" t="s">
        <v>39</v>
      </c>
      <c r="B143" s="745"/>
      <c r="C143" s="745"/>
      <c r="D143" s="746">
        <f ca="1">SUM(D136:D142)</f>
        <v>41294173.562073581</v>
      </c>
      <c r="E143" s="1001"/>
      <c r="F143" s="747">
        <f ca="1">SUM(F136:F142)</f>
        <v>7112060.9670318235</v>
      </c>
      <c r="G143" s="747">
        <f t="shared" ref="G143:I143" ca="1" si="58">SUM(G136:G142)</f>
        <v>17039274.590537537</v>
      </c>
      <c r="H143" s="747">
        <f t="shared" ca="1" si="58"/>
        <v>473763.98456344329</v>
      </c>
      <c r="I143" s="747">
        <f t="shared" ca="1" si="58"/>
        <v>2493931.0199407819</v>
      </c>
      <c r="J143" s="747">
        <f t="shared" ca="1" si="57"/>
        <v>14175142.999999993</v>
      </c>
      <c r="R143" s="1026"/>
    </row>
    <row r="144" spans="1:37">
      <c r="D144" s="1026"/>
      <c r="E144" s="1026"/>
      <c r="F144" s="1026"/>
      <c r="G144" s="1026"/>
      <c r="H144" s="1026"/>
      <c r="I144" s="1026"/>
    </row>
    <row r="145" spans="1:37" ht="12" thickBot="1">
      <c r="A145" s="976" t="s">
        <v>460</v>
      </c>
      <c r="D145" s="1047" t="s">
        <v>573</v>
      </c>
    </row>
    <row r="146" spans="1:37" ht="12" thickBot="1">
      <c r="A146" s="998" t="s">
        <v>344</v>
      </c>
      <c r="B146" s="937"/>
      <c r="D146" s="1048">
        <f>'Sources and Use'!C25</f>
        <v>11000000</v>
      </c>
      <c r="E146" s="741">
        <f>D146/SUM(D146:D148)</f>
        <v>0.57742782152230976</v>
      </c>
      <c r="G146" s="1049">
        <f t="shared" ref="G146:AJ146" si="59">$D$146*G$7</f>
        <v>460000</v>
      </c>
      <c r="H146" s="1049">
        <f t="shared" si="59"/>
        <v>575000</v>
      </c>
      <c r="I146" s="1049">
        <f t="shared" si="59"/>
        <v>805000</v>
      </c>
      <c r="J146" s="1049">
        <f t="shared" si="59"/>
        <v>460000</v>
      </c>
      <c r="K146" s="1049">
        <f t="shared" si="59"/>
        <v>202941.17647058825</v>
      </c>
      <c r="L146" s="1049">
        <f t="shared" si="59"/>
        <v>405882.3529411765</v>
      </c>
      <c r="M146" s="1049">
        <f t="shared" si="59"/>
        <v>608823.5294117647</v>
      </c>
      <c r="N146" s="1049">
        <f t="shared" si="59"/>
        <v>608823.5294117647</v>
      </c>
      <c r="O146" s="1049">
        <f t="shared" si="59"/>
        <v>202941.17647058825</v>
      </c>
      <c r="P146" s="1049">
        <f t="shared" si="59"/>
        <v>270588.23529411765</v>
      </c>
      <c r="Q146" s="1049">
        <f t="shared" si="59"/>
        <v>811764.70588235301</v>
      </c>
      <c r="R146" s="1049">
        <f t="shared" si="59"/>
        <v>1082352.9411764706</v>
      </c>
      <c r="S146" s="1049">
        <f t="shared" si="59"/>
        <v>541176.4705882353</v>
      </c>
      <c r="T146" s="1049">
        <f t="shared" si="59"/>
        <v>324705.88235294115</v>
      </c>
      <c r="U146" s="1049">
        <f t="shared" si="59"/>
        <v>541176.4705882353</v>
      </c>
      <c r="V146" s="1049">
        <f t="shared" si="59"/>
        <v>865882.3529411765</v>
      </c>
      <c r="W146" s="1049">
        <f t="shared" si="59"/>
        <v>432941.17647058825</v>
      </c>
      <c r="X146" s="1049">
        <f t="shared" si="59"/>
        <v>360000</v>
      </c>
      <c r="Y146" s="1049">
        <f t="shared" si="59"/>
        <v>360000</v>
      </c>
      <c r="Z146" s="1049">
        <f t="shared" si="59"/>
        <v>360000</v>
      </c>
      <c r="AA146" s="1049">
        <f t="shared" si="59"/>
        <v>360000</v>
      </c>
      <c r="AB146" s="1049">
        <f t="shared" si="59"/>
        <v>360000</v>
      </c>
      <c r="AC146" s="1049">
        <f t="shared" si="59"/>
        <v>0</v>
      </c>
      <c r="AD146" s="1049">
        <f t="shared" si="59"/>
        <v>0</v>
      </c>
      <c r="AE146" s="1049">
        <f t="shared" si="59"/>
        <v>0</v>
      </c>
      <c r="AF146" s="1049">
        <f t="shared" si="59"/>
        <v>0</v>
      </c>
      <c r="AG146" s="1049">
        <f t="shared" si="59"/>
        <v>0</v>
      </c>
      <c r="AH146" s="1049">
        <f t="shared" si="59"/>
        <v>0</v>
      </c>
      <c r="AI146" s="1049">
        <f t="shared" si="59"/>
        <v>0</v>
      </c>
      <c r="AJ146" s="1049">
        <f t="shared" si="59"/>
        <v>0</v>
      </c>
    </row>
    <row r="147" spans="1:37" ht="12" hidden="1" thickBot="1">
      <c r="A147" s="998" t="s">
        <v>345</v>
      </c>
      <c r="B147" s="937"/>
      <c r="D147" s="1048">
        <f>'Sources and Use'!C26</f>
        <v>0</v>
      </c>
      <c r="E147" s="741">
        <f>D147/SUM(D146:D148)</f>
        <v>0</v>
      </c>
      <c r="G147" s="1049">
        <f>$D$148*G$7</f>
        <v>336636.36363636365</v>
      </c>
      <c r="H147" s="1049">
        <f t="shared" ref="H147:AJ147" si="60">$D$146*H$7</f>
        <v>575000</v>
      </c>
      <c r="I147" s="1049">
        <f t="shared" si="60"/>
        <v>805000</v>
      </c>
      <c r="J147" s="1049">
        <f t="shared" si="60"/>
        <v>460000</v>
      </c>
      <c r="K147" s="1049">
        <f t="shared" si="60"/>
        <v>202941.17647058825</v>
      </c>
      <c r="L147" s="1049">
        <f t="shared" si="60"/>
        <v>405882.3529411765</v>
      </c>
      <c r="M147" s="1049">
        <f t="shared" si="60"/>
        <v>608823.5294117647</v>
      </c>
      <c r="N147" s="1049">
        <f t="shared" si="60"/>
        <v>608823.5294117647</v>
      </c>
      <c r="O147" s="1049">
        <f t="shared" si="60"/>
        <v>202941.17647058825</v>
      </c>
      <c r="P147" s="1049">
        <f t="shared" si="60"/>
        <v>270588.23529411765</v>
      </c>
      <c r="Q147" s="1049">
        <f t="shared" si="60"/>
        <v>811764.70588235301</v>
      </c>
      <c r="R147" s="1049">
        <f t="shared" si="60"/>
        <v>1082352.9411764706</v>
      </c>
      <c r="S147" s="1049">
        <f t="shared" si="60"/>
        <v>541176.4705882353</v>
      </c>
      <c r="T147" s="1049">
        <f t="shared" si="60"/>
        <v>324705.88235294115</v>
      </c>
      <c r="U147" s="1049">
        <f t="shared" si="60"/>
        <v>541176.4705882353</v>
      </c>
      <c r="V147" s="1049">
        <f t="shared" si="60"/>
        <v>865882.3529411765</v>
      </c>
      <c r="W147" s="1049">
        <f t="shared" si="60"/>
        <v>432941.17647058825</v>
      </c>
      <c r="X147" s="1049">
        <f t="shared" si="60"/>
        <v>360000</v>
      </c>
      <c r="Y147" s="1049">
        <f t="shared" si="60"/>
        <v>360000</v>
      </c>
      <c r="Z147" s="1049">
        <f t="shared" si="60"/>
        <v>360000</v>
      </c>
      <c r="AA147" s="1049">
        <f t="shared" si="60"/>
        <v>360000</v>
      </c>
      <c r="AB147" s="1049">
        <f t="shared" si="60"/>
        <v>360000</v>
      </c>
      <c r="AC147" s="1049">
        <f t="shared" si="60"/>
        <v>0</v>
      </c>
      <c r="AD147" s="1049">
        <f t="shared" si="60"/>
        <v>0</v>
      </c>
      <c r="AE147" s="1049">
        <f t="shared" si="60"/>
        <v>0</v>
      </c>
      <c r="AF147" s="1049">
        <f t="shared" si="60"/>
        <v>0</v>
      </c>
      <c r="AG147" s="1049">
        <f t="shared" si="60"/>
        <v>0</v>
      </c>
      <c r="AH147" s="1049">
        <f t="shared" si="60"/>
        <v>0</v>
      </c>
      <c r="AI147" s="1049">
        <f t="shared" si="60"/>
        <v>0</v>
      </c>
      <c r="AJ147" s="1049">
        <f t="shared" si="60"/>
        <v>0</v>
      </c>
    </row>
    <row r="148" spans="1:37" ht="12" thickBot="1">
      <c r="A148" s="998" t="s">
        <v>346</v>
      </c>
      <c r="B148" s="937"/>
      <c r="D148" s="1048">
        <f>'Sources and Use'!C27</f>
        <v>8050000</v>
      </c>
      <c r="E148" s="741">
        <f>D148/SUM(D146:D148)</f>
        <v>0.4225721784776903</v>
      </c>
      <c r="G148" s="1050">
        <f>$D$148*G$7</f>
        <v>336636.36363636365</v>
      </c>
      <c r="H148" s="1050">
        <f t="shared" ref="H148:AJ148" si="61">$D$148*H$7</f>
        <v>420795.45454545453</v>
      </c>
      <c r="I148" s="1050">
        <f t="shared" si="61"/>
        <v>589113.63636363635</v>
      </c>
      <c r="J148" s="1050">
        <f t="shared" si="61"/>
        <v>336636.36363636365</v>
      </c>
      <c r="K148" s="1050">
        <f t="shared" si="61"/>
        <v>148516.04278074868</v>
      </c>
      <c r="L148" s="1050">
        <f t="shared" si="61"/>
        <v>297032.08556149737</v>
      </c>
      <c r="M148" s="1050">
        <f t="shared" si="61"/>
        <v>445548.12834224594</v>
      </c>
      <c r="N148" s="1050">
        <f t="shared" si="61"/>
        <v>445548.12834224594</v>
      </c>
      <c r="O148" s="1050">
        <f t="shared" si="61"/>
        <v>148516.04278074868</v>
      </c>
      <c r="P148" s="1050">
        <f t="shared" si="61"/>
        <v>198021.39037433156</v>
      </c>
      <c r="Q148" s="1050">
        <f t="shared" si="61"/>
        <v>594064.17112299474</v>
      </c>
      <c r="R148" s="1050">
        <f t="shared" si="61"/>
        <v>792085.56149732624</v>
      </c>
      <c r="S148" s="1050">
        <f t="shared" si="61"/>
        <v>396042.78074866312</v>
      </c>
      <c r="T148" s="1050">
        <f t="shared" si="61"/>
        <v>237625.66844919784</v>
      </c>
      <c r="U148" s="1050">
        <f t="shared" si="61"/>
        <v>396042.78074866312</v>
      </c>
      <c r="V148" s="1050">
        <f t="shared" si="61"/>
        <v>633668.44919786102</v>
      </c>
      <c r="W148" s="1050">
        <f t="shared" si="61"/>
        <v>316834.22459893051</v>
      </c>
      <c r="X148" s="1050">
        <f t="shared" si="61"/>
        <v>263454.54545454547</v>
      </c>
      <c r="Y148" s="1050">
        <f t="shared" si="61"/>
        <v>263454.54545454547</v>
      </c>
      <c r="Z148" s="1050">
        <f t="shared" si="61"/>
        <v>263454.54545454547</v>
      </c>
      <c r="AA148" s="1050">
        <f t="shared" si="61"/>
        <v>263454.54545454547</v>
      </c>
      <c r="AB148" s="1050">
        <f t="shared" si="61"/>
        <v>263454.54545454547</v>
      </c>
      <c r="AC148" s="1050">
        <f t="shared" si="61"/>
        <v>0</v>
      </c>
      <c r="AD148" s="1050">
        <f t="shared" si="61"/>
        <v>0</v>
      </c>
      <c r="AE148" s="1050">
        <f t="shared" si="61"/>
        <v>0</v>
      </c>
      <c r="AF148" s="1050">
        <f t="shared" si="61"/>
        <v>0</v>
      </c>
      <c r="AG148" s="1050">
        <f t="shared" si="61"/>
        <v>0</v>
      </c>
      <c r="AH148" s="1050">
        <f t="shared" si="61"/>
        <v>0</v>
      </c>
      <c r="AI148" s="1050">
        <f t="shared" si="61"/>
        <v>0</v>
      </c>
      <c r="AJ148" s="1050">
        <f t="shared" si="61"/>
        <v>0</v>
      </c>
    </row>
    <row r="149" spans="1:37">
      <c r="A149" s="998"/>
      <c r="B149" s="937"/>
      <c r="D149" s="1048"/>
      <c r="G149" s="1026"/>
      <c r="H149" s="1026"/>
      <c r="I149" s="1026"/>
      <c r="J149" s="1026"/>
      <c r="K149" s="1026"/>
      <c r="L149" s="1026"/>
      <c r="M149" s="1026"/>
      <c r="N149" s="1026"/>
      <c r="O149" s="1026"/>
      <c r="P149" s="1026"/>
      <c r="Q149" s="1026"/>
      <c r="R149" s="1026"/>
      <c r="S149" s="1026"/>
      <c r="T149" s="1026"/>
      <c r="U149" s="1026"/>
      <c r="V149" s="1026"/>
      <c r="W149" s="1026"/>
      <c r="X149" s="1026"/>
      <c r="Y149" s="1026"/>
      <c r="Z149" s="1026"/>
      <c r="AA149" s="1026"/>
      <c r="AB149" s="1026"/>
      <c r="AC149" s="1026"/>
      <c r="AD149" s="1026"/>
      <c r="AE149" s="1026"/>
      <c r="AF149" s="1026"/>
      <c r="AG149" s="1026"/>
      <c r="AH149" s="1026"/>
      <c r="AI149" s="1026"/>
      <c r="AJ149" s="1026"/>
    </row>
    <row r="150" spans="1:37">
      <c r="A150" s="976" t="s">
        <v>603</v>
      </c>
      <c r="B150" s="937"/>
      <c r="D150" s="1048"/>
      <c r="G150" s="1026"/>
      <c r="H150" s="1026"/>
      <c r="I150" s="1026"/>
      <c r="J150" s="1026"/>
      <c r="K150" s="1026"/>
      <c r="L150" s="1026"/>
      <c r="M150" s="1026"/>
      <c r="N150" s="1026"/>
      <c r="O150" s="1026"/>
      <c r="P150" s="1026"/>
      <c r="Q150" s="1026"/>
      <c r="R150" s="1026"/>
      <c r="S150" s="1026"/>
      <c r="T150" s="1026"/>
      <c r="U150" s="1026"/>
      <c r="V150" s="1026"/>
      <c r="W150" s="1026"/>
      <c r="X150" s="1026"/>
      <c r="Y150" s="1026"/>
      <c r="Z150" s="1026"/>
      <c r="AA150" s="1026"/>
      <c r="AB150" s="1026"/>
      <c r="AC150" s="1026"/>
      <c r="AD150" s="1026"/>
      <c r="AE150" s="1026"/>
      <c r="AF150" s="1026"/>
      <c r="AG150" s="1026"/>
      <c r="AH150" s="1026"/>
      <c r="AI150" s="1026"/>
      <c r="AJ150" s="1026"/>
    </row>
    <row r="151" spans="1:37">
      <c r="A151" s="998" t="s">
        <v>604</v>
      </c>
      <c r="B151" s="937"/>
      <c r="D151" s="1048"/>
      <c r="G151" s="1026">
        <v>0</v>
      </c>
      <c r="H151" s="1026">
        <f>G153</f>
        <v>336636.36363636365</v>
      </c>
      <c r="I151" s="1026">
        <f t="shared" ref="I151:AJ151" si="62">H153</f>
        <v>757431.81818181812</v>
      </c>
      <c r="J151" s="1026">
        <f t="shared" si="62"/>
        <v>1346545.4545454546</v>
      </c>
      <c r="K151" s="1026">
        <f t="shared" si="62"/>
        <v>1683181.8181818184</v>
      </c>
      <c r="L151" s="1026">
        <f t="shared" si="62"/>
        <v>1831697.8609625669</v>
      </c>
      <c r="M151" s="1026">
        <f t="shared" si="62"/>
        <v>2128729.9465240641</v>
      </c>
      <c r="N151" s="1026">
        <f t="shared" si="62"/>
        <v>2574278.0748663098</v>
      </c>
      <c r="O151" s="1026">
        <f t="shared" si="62"/>
        <v>3019826.2032085555</v>
      </c>
      <c r="P151" s="1026">
        <f t="shared" si="62"/>
        <v>3168342.245989304</v>
      </c>
      <c r="Q151" s="1026">
        <f t="shared" si="62"/>
        <v>3366363.6363636358</v>
      </c>
      <c r="R151" s="1026">
        <f t="shared" si="62"/>
        <v>3960427.8074866305</v>
      </c>
      <c r="S151" s="1026">
        <f t="shared" si="62"/>
        <v>4752513.368983957</v>
      </c>
      <c r="T151" s="1026">
        <f t="shared" si="62"/>
        <v>5148556.1497326205</v>
      </c>
      <c r="U151" s="1026">
        <f t="shared" si="62"/>
        <v>5386181.8181818184</v>
      </c>
      <c r="V151" s="1026">
        <f t="shared" si="62"/>
        <v>5782224.5989304818</v>
      </c>
      <c r="W151" s="1026">
        <f t="shared" si="62"/>
        <v>6415893.0481283432</v>
      </c>
      <c r="X151" s="1026">
        <f t="shared" si="62"/>
        <v>6732727.2727272734</v>
      </c>
      <c r="Y151" s="1026">
        <f t="shared" si="62"/>
        <v>6996181.8181818193</v>
      </c>
      <c r="Z151" s="1026">
        <f t="shared" si="62"/>
        <v>7259636.3636363652</v>
      </c>
      <c r="AA151" s="1026">
        <f t="shared" si="62"/>
        <v>7523090.909090911</v>
      </c>
      <c r="AB151" s="1026">
        <f t="shared" si="62"/>
        <v>7786545.4545454569</v>
      </c>
      <c r="AC151" s="1026">
        <f t="shared" si="62"/>
        <v>8050000.0000000028</v>
      </c>
      <c r="AD151" s="1026">
        <f t="shared" si="62"/>
        <v>8050000.0000000028</v>
      </c>
      <c r="AE151" s="1026">
        <f t="shared" si="62"/>
        <v>8050000.0000000028</v>
      </c>
      <c r="AF151" s="1026">
        <f t="shared" si="62"/>
        <v>8050000.0000000028</v>
      </c>
      <c r="AG151" s="1026">
        <f t="shared" si="62"/>
        <v>8050000.0000000028</v>
      </c>
      <c r="AH151" s="1026">
        <f t="shared" si="62"/>
        <v>8050000.0000000028</v>
      </c>
      <c r="AI151" s="1026">
        <f t="shared" si="62"/>
        <v>8050000.0000000028</v>
      </c>
      <c r="AJ151" s="1026">
        <f t="shared" si="62"/>
        <v>8050000.0000000028</v>
      </c>
    </row>
    <row r="152" spans="1:37">
      <c r="A152" s="998" t="s">
        <v>461</v>
      </c>
      <c r="G152" s="1026">
        <f>-G125</f>
        <v>0</v>
      </c>
      <c r="H152" s="1026">
        <f t="shared" ref="H152:AJ152" si="63">-H125</f>
        <v>0</v>
      </c>
      <c r="I152" s="1026">
        <f t="shared" si="63"/>
        <v>0</v>
      </c>
      <c r="J152" s="1026">
        <f t="shared" si="63"/>
        <v>0</v>
      </c>
      <c r="K152" s="1026">
        <f t="shared" si="63"/>
        <v>0</v>
      </c>
      <c r="L152" s="1026">
        <f t="shared" si="63"/>
        <v>0</v>
      </c>
      <c r="M152" s="1026">
        <f t="shared" si="63"/>
        <v>0</v>
      </c>
      <c r="N152" s="1026">
        <f t="shared" si="63"/>
        <v>0</v>
      </c>
      <c r="O152" s="1026">
        <f t="shared" si="63"/>
        <v>0</v>
      </c>
      <c r="P152" s="1026">
        <f t="shared" si="63"/>
        <v>0</v>
      </c>
      <c r="Q152" s="1026">
        <f t="shared" si="63"/>
        <v>0</v>
      </c>
      <c r="R152" s="1026">
        <f t="shared" si="63"/>
        <v>0</v>
      </c>
      <c r="S152" s="1026">
        <f t="shared" si="63"/>
        <v>0</v>
      </c>
      <c r="T152" s="1026">
        <f t="shared" si="63"/>
        <v>0</v>
      </c>
      <c r="U152" s="1026">
        <f t="shared" si="63"/>
        <v>0</v>
      </c>
      <c r="V152" s="1026">
        <f t="shared" si="63"/>
        <v>0</v>
      </c>
      <c r="W152" s="1026">
        <f t="shared" si="63"/>
        <v>0</v>
      </c>
      <c r="X152" s="1026">
        <f t="shared" si="63"/>
        <v>0</v>
      </c>
      <c r="Y152" s="1026">
        <f t="shared" si="63"/>
        <v>0</v>
      </c>
      <c r="Z152" s="1026">
        <f t="shared" si="63"/>
        <v>0</v>
      </c>
      <c r="AA152" s="1026">
        <f t="shared" si="63"/>
        <v>0</v>
      </c>
      <c r="AB152" s="1026">
        <f t="shared" si="63"/>
        <v>0</v>
      </c>
      <c r="AC152" s="1026">
        <f t="shared" si="63"/>
        <v>0</v>
      </c>
      <c r="AD152" s="1026">
        <f t="shared" si="63"/>
        <v>0</v>
      </c>
      <c r="AE152" s="1026">
        <f t="shared" si="63"/>
        <v>0</v>
      </c>
      <c r="AF152" s="1026">
        <f t="shared" si="63"/>
        <v>0</v>
      </c>
      <c r="AG152" s="1026">
        <f t="shared" si="63"/>
        <v>0</v>
      </c>
      <c r="AH152" s="1026">
        <f t="shared" si="63"/>
        <v>0</v>
      </c>
      <c r="AI152" s="1026">
        <f t="shared" si="63"/>
        <v>0</v>
      </c>
      <c r="AJ152" s="1026">
        <f t="shared" si="63"/>
        <v>0</v>
      </c>
    </row>
    <row r="153" spans="1:37">
      <c r="A153" s="998" t="s">
        <v>462</v>
      </c>
      <c r="G153" s="1026">
        <f>G148</f>
        <v>336636.36363636365</v>
      </c>
      <c r="H153" s="1026">
        <f>H151+H152+H148</f>
        <v>757431.81818181812</v>
      </c>
      <c r="I153" s="1026">
        <f t="shared" ref="I153:AJ153" si="64">I151+I152+I148</f>
        <v>1346545.4545454546</v>
      </c>
      <c r="J153" s="1026">
        <f t="shared" si="64"/>
        <v>1683181.8181818184</v>
      </c>
      <c r="K153" s="1026">
        <f t="shared" si="64"/>
        <v>1831697.8609625669</v>
      </c>
      <c r="L153" s="1026">
        <f t="shared" si="64"/>
        <v>2128729.9465240641</v>
      </c>
      <c r="M153" s="1026">
        <f t="shared" si="64"/>
        <v>2574278.0748663098</v>
      </c>
      <c r="N153" s="1026">
        <f t="shared" si="64"/>
        <v>3019826.2032085555</v>
      </c>
      <c r="O153" s="1026">
        <f t="shared" si="64"/>
        <v>3168342.245989304</v>
      </c>
      <c r="P153" s="1026">
        <f t="shared" si="64"/>
        <v>3366363.6363636358</v>
      </c>
      <c r="Q153" s="1026">
        <f t="shared" si="64"/>
        <v>3960427.8074866305</v>
      </c>
      <c r="R153" s="1026">
        <f t="shared" si="64"/>
        <v>4752513.368983957</v>
      </c>
      <c r="S153" s="1026">
        <f t="shared" si="64"/>
        <v>5148556.1497326205</v>
      </c>
      <c r="T153" s="1026">
        <f t="shared" si="64"/>
        <v>5386181.8181818184</v>
      </c>
      <c r="U153" s="1026">
        <f t="shared" si="64"/>
        <v>5782224.5989304818</v>
      </c>
      <c r="V153" s="1026">
        <f t="shared" si="64"/>
        <v>6415893.0481283432</v>
      </c>
      <c r="W153" s="1026">
        <f t="shared" si="64"/>
        <v>6732727.2727272734</v>
      </c>
      <c r="X153" s="1026">
        <f t="shared" si="64"/>
        <v>6996181.8181818193</v>
      </c>
      <c r="Y153" s="1026">
        <f t="shared" si="64"/>
        <v>7259636.3636363652</v>
      </c>
      <c r="Z153" s="1026">
        <f t="shared" si="64"/>
        <v>7523090.909090911</v>
      </c>
      <c r="AA153" s="1026">
        <f t="shared" si="64"/>
        <v>7786545.4545454569</v>
      </c>
      <c r="AB153" s="1026">
        <f t="shared" si="64"/>
        <v>8050000.0000000028</v>
      </c>
      <c r="AC153" s="1026">
        <f t="shared" si="64"/>
        <v>8050000.0000000028</v>
      </c>
      <c r="AD153" s="1026">
        <f t="shared" si="64"/>
        <v>8050000.0000000028</v>
      </c>
      <c r="AE153" s="1026">
        <f t="shared" si="64"/>
        <v>8050000.0000000028</v>
      </c>
      <c r="AF153" s="1026">
        <f t="shared" si="64"/>
        <v>8050000.0000000028</v>
      </c>
      <c r="AG153" s="1026">
        <f t="shared" si="64"/>
        <v>8050000.0000000028</v>
      </c>
      <c r="AH153" s="1026">
        <f t="shared" si="64"/>
        <v>8050000.0000000028</v>
      </c>
      <c r="AI153" s="1026">
        <f t="shared" si="64"/>
        <v>8050000.0000000028</v>
      </c>
      <c r="AJ153" s="1026">
        <f t="shared" si="64"/>
        <v>8050000.0000000028</v>
      </c>
    </row>
    <row r="154" spans="1:37">
      <c r="A154" s="998"/>
      <c r="B154" s="937"/>
      <c r="D154" s="1048"/>
      <c r="G154" s="1026"/>
      <c r="H154" s="1026"/>
      <c r="I154" s="1026"/>
      <c r="J154" s="1026"/>
      <c r="K154" s="1026"/>
      <c r="L154" s="1026"/>
      <c r="M154" s="1026"/>
      <c r="N154" s="1026"/>
      <c r="O154" s="1026"/>
      <c r="P154" s="1026"/>
      <c r="Q154" s="1026"/>
      <c r="R154" s="1026"/>
      <c r="S154" s="1026"/>
      <c r="T154" s="1026"/>
      <c r="U154" s="1026"/>
      <c r="V154" s="1026"/>
      <c r="W154" s="1026"/>
      <c r="X154" s="1026"/>
      <c r="Y154" s="1026"/>
      <c r="Z154" s="1026"/>
      <c r="AA154" s="1026"/>
      <c r="AB154" s="1026"/>
      <c r="AC154" s="1026"/>
      <c r="AD154" s="1026"/>
      <c r="AE154" s="1026"/>
      <c r="AF154" s="1026"/>
      <c r="AG154" s="1026"/>
      <c r="AH154" s="1026"/>
      <c r="AI154" s="1026"/>
      <c r="AJ154" s="1026"/>
    </row>
    <row r="155" spans="1:37" hidden="1">
      <c r="A155" s="976" t="s">
        <v>606</v>
      </c>
      <c r="B155" s="937"/>
      <c r="D155" s="1048"/>
      <c r="G155" s="1026"/>
      <c r="H155" s="1026"/>
      <c r="I155" s="1026"/>
      <c r="J155" s="1026"/>
      <c r="K155" s="1026"/>
      <c r="L155" s="1026"/>
      <c r="M155" s="1026"/>
      <c r="N155" s="1026"/>
      <c r="O155" s="1026"/>
      <c r="P155" s="1026"/>
      <c r="Q155" s="1026"/>
      <c r="R155" s="1026"/>
      <c r="S155" s="1026"/>
      <c r="T155" s="1026"/>
      <c r="U155" s="1026"/>
      <c r="V155" s="1026"/>
      <c r="W155" s="1026"/>
      <c r="X155" s="1026"/>
      <c r="Y155" s="1026"/>
      <c r="Z155" s="1026"/>
      <c r="AA155" s="1026"/>
      <c r="AB155" s="1026"/>
      <c r="AC155" s="1026"/>
      <c r="AD155" s="1026"/>
      <c r="AE155" s="1026"/>
      <c r="AF155" s="1026"/>
      <c r="AG155" s="1026"/>
      <c r="AH155" s="1026"/>
      <c r="AI155" s="1026"/>
      <c r="AJ155" s="1026"/>
    </row>
    <row r="156" spans="1:37" hidden="1">
      <c r="A156" s="998" t="s">
        <v>463</v>
      </c>
      <c r="B156" s="1051">
        <f>SUM(G156:AJ156)</f>
        <v>136</v>
      </c>
      <c r="D156" s="1048"/>
      <c r="G156" s="1052">
        <f t="shared" ref="G156:AJ156" si="65">SUM(G16:G42)</f>
        <v>0</v>
      </c>
      <c r="H156" s="1052">
        <f t="shared" si="65"/>
        <v>0</v>
      </c>
      <c r="I156" s="1052">
        <f t="shared" si="65"/>
        <v>0</v>
      </c>
      <c r="J156" s="1052">
        <f t="shared" si="65"/>
        <v>34</v>
      </c>
      <c r="K156" s="1052">
        <f t="shared" si="65"/>
        <v>0</v>
      </c>
      <c r="L156" s="1052">
        <f t="shared" si="65"/>
        <v>0</v>
      </c>
      <c r="M156" s="1052">
        <f t="shared" si="65"/>
        <v>0</v>
      </c>
      <c r="N156" s="1052">
        <f t="shared" si="65"/>
        <v>0</v>
      </c>
      <c r="O156" s="1052">
        <f t="shared" si="65"/>
        <v>30</v>
      </c>
      <c r="P156" s="1052">
        <f t="shared" si="65"/>
        <v>0</v>
      </c>
      <c r="Q156" s="1052">
        <f t="shared" si="65"/>
        <v>0</v>
      </c>
      <c r="R156" s="1052">
        <f t="shared" si="65"/>
        <v>0</v>
      </c>
      <c r="S156" s="1052">
        <f t="shared" si="65"/>
        <v>40</v>
      </c>
      <c r="T156" s="1052">
        <f t="shared" si="65"/>
        <v>0</v>
      </c>
      <c r="U156" s="1052">
        <f t="shared" si="65"/>
        <v>0</v>
      </c>
      <c r="V156" s="1052">
        <f t="shared" si="65"/>
        <v>0</v>
      </c>
      <c r="W156" s="1052">
        <f t="shared" si="65"/>
        <v>32</v>
      </c>
      <c r="X156" s="1052">
        <f t="shared" si="65"/>
        <v>0</v>
      </c>
      <c r="Y156" s="1052">
        <f t="shared" si="65"/>
        <v>0</v>
      </c>
      <c r="Z156" s="1052">
        <f t="shared" si="65"/>
        <v>0</v>
      </c>
      <c r="AA156" s="1052">
        <f t="shared" si="65"/>
        <v>0</v>
      </c>
      <c r="AB156" s="1052">
        <f t="shared" si="65"/>
        <v>0</v>
      </c>
      <c r="AC156" s="1052">
        <f t="shared" si="65"/>
        <v>0</v>
      </c>
      <c r="AD156" s="1052">
        <f t="shared" si="65"/>
        <v>0</v>
      </c>
      <c r="AE156" s="1052">
        <f t="shared" si="65"/>
        <v>0</v>
      </c>
      <c r="AF156" s="1052">
        <f t="shared" si="65"/>
        <v>0</v>
      </c>
      <c r="AG156" s="1052">
        <f t="shared" si="65"/>
        <v>0</v>
      </c>
      <c r="AH156" s="1052">
        <f t="shared" si="65"/>
        <v>0</v>
      </c>
      <c r="AI156" s="1052">
        <f t="shared" si="65"/>
        <v>0</v>
      </c>
      <c r="AJ156" s="1052">
        <f t="shared" si="65"/>
        <v>0</v>
      </c>
      <c r="AK156" s="1052"/>
    </row>
    <row r="157" spans="1:37" hidden="1">
      <c r="A157" s="998" t="s">
        <v>574</v>
      </c>
      <c r="B157" s="1051"/>
      <c r="D157" s="1048"/>
      <c r="G157" s="1026">
        <f>G156/$C$12*$D$146</f>
        <v>0</v>
      </c>
      <c r="H157" s="1026">
        <f>H156/$C$12*$D$146</f>
        <v>0</v>
      </c>
      <c r="I157" s="1026">
        <f>I156/$C$12*$D$146</f>
        <v>0</v>
      </c>
      <c r="J157" s="1026">
        <f>J156/$C$12*$D$146</f>
        <v>2750000</v>
      </c>
      <c r="K157" s="1026">
        <f>K156/$C$12*$D$146</f>
        <v>0</v>
      </c>
      <c r="L157" s="1026">
        <f t="shared" ref="L157:AD157" si="66">L156/$C$12*$D$146</f>
        <v>0</v>
      </c>
      <c r="M157" s="1026">
        <f t="shared" si="66"/>
        <v>0</v>
      </c>
      <c r="N157" s="1026">
        <f t="shared" si="66"/>
        <v>0</v>
      </c>
      <c r="O157" s="1026">
        <f t="shared" si="66"/>
        <v>2426470.588235294</v>
      </c>
      <c r="P157" s="1026">
        <f t="shared" si="66"/>
        <v>0</v>
      </c>
      <c r="Q157" s="1026">
        <f t="shared" si="66"/>
        <v>0</v>
      </c>
      <c r="R157" s="1026">
        <f t="shared" si="66"/>
        <v>0</v>
      </c>
      <c r="S157" s="1026">
        <f t="shared" si="66"/>
        <v>3235294.1176470588</v>
      </c>
      <c r="T157" s="1026">
        <f t="shared" si="66"/>
        <v>0</v>
      </c>
      <c r="U157" s="1026">
        <f t="shared" si="66"/>
        <v>0</v>
      </c>
      <c r="V157" s="1026">
        <f t="shared" si="66"/>
        <v>0</v>
      </c>
      <c r="W157" s="1026">
        <f t="shared" si="66"/>
        <v>2588235.2941176472</v>
      </c>
      <c r="X157" s="1026">
        <f t="shared" si="66"/>
        <v>0</v>
      </c>
      <c r="Y157" s="1026">
        <f t="shared" si="66"/>
        <v>0</v>
      </c>
      <c r="Z157" s="1026">
        <f t="shared" si="66"/>
        <v>0</v>
      </c>
      <c r="AA157" s="1026">
        <f t="shared" si="66"/>
        <v>0</v>
      </c>
      <c r="AB157" s="1026">
        <f t="shared" si="66"/>
        <v>0</v>
      </c>
      <c r="AC157" s="1026">
        <f t="shared" si="66"/>
        <v>0</v>
      </c>
      <c r="AD157" s="1026">
        <f t="shared" si="66"/>
        <v>0</v>
      </c>
      <c r="AE157" s="1052"/>
      <c r="AF157" s="1052"/>
      <c r="AG157" s="1052"/>
      <c r="AH157" s="1052"/>
      <c r="AI157" s="1052"/>
      <c r="AJ157" s="1052"/>
      <c r="AK157" s="1052"/>
    </row>
    <row r="158" spans="1:37" hidden="1">
      <c r="A158" s="998" t="s">
        <v>575</v>
      </c>
      <c r="B158" s="1051"/>
      <c r="D158" s="1048"/>
      <c r="G158" s="1026">
        <f>F158+G157</f>
        <v>0</v>
      </c>
      <c r="H158" s="1026">
        <f t="shared" ref="H158:J158" si="67">G158+H157</f>
        <v>0</v>
      </c>
      <c r="I158" s="1026">
        <f t="shared" si="67"/>
        <v>0</v>
      </c>
      <c r="J158" s="1026">
        <f t="shared" si="67"/>
        <v>2750000</v>
      </c>
      <c r="K158" s="1026">
        <f>J158+K157</f>
        <v>2750000</v>
      </c>
      <c r="L158" s="1026">
        <f t="shared" ref="L158:AJ158" si="68">K158+L157</f>
        <v>2750000</v>
      </c>
      <c r="M158" s="1026">
        <f t="shared" si="68"/>
        <v>2750000</v>
      </c>
      <c r="N158" s="1026">
        <f t="shared" si="68"/>
        <v>2750000</v>
      </c>
      <c r="O158" s="1026">
        <f t="shared" si="68"/>
        <v>5176470.5882352944</v>
      </c>
      <c r="P158" s="1026">
        <f t="shared" si="68"/>
        <v>5176470.5882352944</v>
      </c>
      <c r="Q158" s="1026">
        <f t="shared" si="68"/>
        <v>5176470.5882352944</v>
      </c>
      <c r="R158" s="1026">
        <f t="shared" si="68"/>
        <v>5176470.5882352944</v>
      </c>
      <c r="S158" s="1026">
        <f t="shared" si="68"/>
        <v>8411764.7058823537</v>
      </c>
      <c r="T158" s="1026">
        <f t="shared" si="68"/>
        <v>8411764.7058823537</v>
      </c>
      <c r="U158" s="1026">
        <f t="shared" si="68"/>
        <v>8411764.7058823537</v>
      </c>
      <c r="V158" s="1026">
        <f t="shared" si="68"/>
        <v>8411764.7058823537</v>
      </c>
      <c r="W158" s="1026">
        <f t="shared" si="68"/>
        <v>11000000</v>
      </c>
      <c r="X158" s="1026">
        <f t="shared" si="68"/>
        <v>11000000</v>
      </c>
      <c r="Y158" s="1026">
        <f t="shared" si="68"/>
        <v>11000000</v>
      </c>
      <c r="Z158" s="1026">
        <f t="shared" si="68"/>
        <v>11000000</v>
      </c>
      <c r="AA158" s="1026">
        <f t="shared" si="68"/>
        <v>11000000</v>
      </c>
      <c r="AB158" s="1026">
        <f t="shared" si="68"/>
        <v>11000000</v>
      </c>
      <c r="AC158" s="1026">
        <f t="shared" si="68"/>
        <v>11000000</v>
      </c>
      <c r="AD158" s="1026">
        <f t="shared" si="68"/>
        <v>11000000</v>
      </c>
      <c r="AE158" s="1026">
        <f t="shared" si="68"/>
        <v>11000000</v>
      </c>
      <c r="AF158" s="1026">
        <f t="shared" si="68"/>
        <v>11000000</v>
      </c>
      <c r="AG158" s="1026">
        <f t="shared" si="68"/>
        <v>11000000</v>
      </c>
      <c r="AH158" s="1026">
        <f t="shared" si="68"/>
        <v>11000000</v>
      </c>
      <c r="AI158" s="1026">
        <f t="shared" si="68"/>
        <v>11000000</v>
      </c>
      <c r="AJ158" s="1026">
        <f t="shared" si="68"/>
        <v>11000000</v>
      </c>
      <c r="AK158" s="1052"/>
    </row>
    <row r="159" spans="1:37" hidden="1">
      <c r="A159" s="998" t="s">
        <v>576</v>
      </c>
      <c r="B159" s="1051"/>
      <c r="D159" s="1048"/>
      <c r="G159" s="1026">
        <f>SUM($G$123:G123)</f>
        <v>460000</v>
      </c>
      <c r="H159" s="1026">
        <f>SUM($G$123:H123)</f>
        <v>1035000</v>
      </c>
      <c r="I159" s="1026">
        <f>SUM($G$123:I123)</f>
        <v>1840000</v>
      </c>
      <c r="J159" s="1026">
        <f>SUM($G$123:J123)</f>
        <v>2300000</v>
      </c>
      <c r="K159" s="1026">
        <f>SUM($G$123:K123)</f>
        <v>2502941.1764705884</v>
      </c>
      <c r="L159" s="1026">
        <f>SUM($G$123:L123)</f>
        <v>2908823.5294117648</v>
      </c>
      <c r="M159" s="1026">
        <f>SUM($G$123:M123)</f>
        <v>3517647.0588235296</v>
      </c>
      <c r="N159" s="1026">
        <f>SUM($G$123:N123)</f>
        <v>4126470.5882352944</v>
      </c>
      <c r="O159" s="1026">
        <f>SUM($G$123:O123)</f>
        <v>4329411.7647058824</v>
      </c>
      <c r="P159" s="1026">
        <f>SUM($G$123:P123)</f>
        <v>4600000</v>
      </c>
      <c r="Q159" s="1026">
        <f>SUM($G$123:Q123)</f>
        <v>5411764.7058823528</v>
      </c>
      <c r="R159" s="1026">
        <f>SUM($G$123:R123)</f>
        <v>6494117.6470588231</v>
      </c>
      <c r="S159" s="1026">
        <f>SUM($G$123:S123)</f>
        <v>7035294.1176470583</v>
      </c>
      <c r="T159" s="1026">
        <f>SUM($G$123:T123)</f>
        <v>7359999.9999999991</v>
      </c>
      <c r="U159" s="1026">
        <f>SUM($G$123:U123)</f>
        <v>7901176.4705882343</v>
      </c>
      <c r="V159" s="1026">
        <f>SUM($G$123:V123)</f>
        <v>8767058.8235294111</v>
      </c>
      <c r="W159" s="1026">
        <f>SUM($G$123:W123)</f>
        <v>9200000</v>
      </c>
      <c r="X159" s="1026">
        <f>SUM($G$123:X123)</f>
        <v>9560000</v>
      </c>
      <c r="Y159" s="1026">
        <f>SUM($G$123:Y123)</f>
        <v>9920000</v>
      </c>
      <c r="Z159" s="1026">
        <f>SUM($G$123:Z123)</f>
        <v>10280000</v>
      </c>
      <c r="AA159" s="1026">
        <f>SUM($G$123:AA123)</f>
        <v>10640000</v>
      </c>
      <c r="AB159" s="1026">
        <f>SUM($G$123:AB123)</f>
        <v>11000000</v>
      </c>
      <c r="AC159" s="1026">
        <f>SUM($G$123:AC123)</f>
        <v>11000000</v>
      </c>
      <c r="AD159" s="1026">
        <f>SUM($G$123:AD123)</f>
        <v>11000000</v>
      </c>
      <c r="AE159" s="1026">
        <f>SUM($G$123:AE123)</f>
        <v>11000000</v>
      </c>
      <c r="AF159" s="1026">
        <f>SUM($G$123:AF123)</f>
        <v>11000000</v>
      </c>
      <c r="AG159" s="1026">
        <f>SUM($G$123:AG123)</f>
        <v>11000000</v>
      </c>
      <c r="AH159" s="1026">
        <f>SUM($G$123:AH123)</f>
        <v>11000000</v>
      </c>
      <c r="AI159" s="1026">
        <f>SUM($G$123:AI123)</f>
        <v>11000000</v>
      </c>
      <c r="AJ159" s="1026">
        <f>SUM($G$123:AJ123)</f>
        <v>11000000</v>
      </c>
      <c r="AK159" s="1052"/>
    </row>
    <row r="160" spans="1:37" hidden="1">
      <c r="A160" s="998" t="s">
        <v>583</v>
      </c>
      <c r="B160" s="1051"/>
      <c r="C160" s="938" t="s">
        <v>464</v>
      </c>
      <c r="D160" s="1048"/>
      <c r="G160" s="1026">
        <f>G158-G159</f>
        <v>-460000</v>
      </c>
      <c r="H160" s="1026">
        <f t="shared" ref="H160:K160" si="69">H158-H159</f>
        <v>-1035000</v>
      </c>
      <c r="I160" s="1026">
        <f t="shared" si="69"/>
        <v>-1840000</v>
      </c>
      <c r="J160" s="1026">
        <f t="shared" si="69"/>
        <v>450000</v>
      </c>
      <c r="K160" s="1026">
        <f t="shared" si="69"/>
        <v>247058.82352941157</v>
      </c>
      <c r="L160" s="1026">
        <f>L158-L159</f>
        <v>-158823.52941176482</v>
      </c>
      <c r="M160" s="1026">
        <f>M158-M159</f>
        <v>-767647.05882352963</v>
      </c>
      <c r="N160" s="1026">
        <f t="shared" ref="N160" si="70">N158-N159</f>
        <v>-1376470.5882352944</v>
      </c>
      <c r="O160" s="1026">
        <f t="shared" ref="O160:P160" si="71">O158-O159</f>
        <v>847058.82352941204</v>
      </c>
      <c r="P160" s="1026">
        <f t="shared" si="71"/>
        <v>576470.58823529445</v>
      </c>
      <c r="Q160" s="1026">
        <f t="shared" ref="Q160" si="72">Q158-Q159</f>
        <v>-235294.11764705833</v>
      </c>
      <c r="R160" s="1026">
        <f t="shared" ref="R160" si="73">R158-R159</f>
        <v>-1317647.0588235287</v>
      </c>
      <c r="S160" s="1026">
        <f t="shared" ref="S160" si="74">S158-S159</f>
        <v>1376470.5882352954</v>
      </c>
      <c r="T160" s="1026">
        <f t="shared" ref="T160:V160" si="75">T158-T159</f>
        <v>1051764.7058823546</v>
      </c>
      <c r="U160" s="1026">
        <f t="shared" si="75"/>
        <v>510588.23529411945</v>
      </c>
      <c r="V160" s="1026">
        <f t="shared" si="75"/>
        <v>-355294.1176470574</v>
      </c>
      <c r="W160" s="1026">
        <f t="shared" ref="W160" si="76">W158-W159</f>
        <v>1800000</v>
      </c>
      <c r="X160" s="1026">
        <f t="shared" ref="X160:Y160" si="77">X158-X159</f>
        <v>1440000</v>
      </c>
      <c r="Y160" s="1026">
        <f t="shared" si="77"/>
        <v>1080000</v>
      </c>
      <c r="Z160" s="1026">
        <f t="shared" ref="Z160" si="78">Z158-Z159</f>
        <v>720000</v>
      </c>
      <c r="AA160" s="1026">
        <f t="shared" ref="AA160" si="79">AA158-AA159</f>
        <v>360000</v>
      </c>
      <c r="AB160" s="1026">
        <f t="shared" ref="AB160" si="80">AB158-AB159</f>
        <v>0</v>
      </c>
      <c r="AC160" s="1026">
        <f t="shared" ref="AC160:AE160" si="81">AC158-AC159</f>
        <v>0</v>
      </c>
      <c r="AD160" s="1026">
        <f t="shared" si="81"/>
        <v>0</v>
      </c>
      <c r="AE160" s="1026">
        <f t="shared" si="81"/>
        <v>0</v>
      </c>
      <c r="AF160" s="1026">
        <f t="shared" ref="AF160" si="82">AF158-AF159</f>
        <v>0</v>
      </c>
      <c r="AG160" s="1026">
        <f t="shared" ref="AG160:AH160" si="83">AG158-AG159</f>
        <v>0</v>
      </c>
      <c r="AH160" s="1026">
        <f t="shared" si="83"/>
        <v>0</v>
      </c>
      <c r="AI160" s="1026">
        <f t="shared" ref="AI160" si="84">AI158-AI159</f>
        <v>0</v>
      </c>
      <c r="AJ160" s="1026">
        <f t="shared" ref="AJ160" si="85">AJ158-AJ159</f>
        <v>0</v>
      </c>
      <c r="AK160" s="1052"/>
    </row>
    <row r="161" spans="1:37" hidden="1">
      <c r="A161" s="998" t="s">
        <v>465</v>
      </c>
      <c r="B161" s="1051"/>
      <c r="D161" s="1048"/>
      <c r="G161" s="1026" t="str">
        <f t="shared" ref="G161:AJ161" si="86">IF(G175&gt;G158, "FAIL", "OK")</f>
        <v>FAIL</v>
      </c>
      <c r="H161" s="1026" t="str">
        <f t="shared" si="86"/>
        <v>FAIL</v>
      </c>
      <c r="I161" s="1026" t="str">
        <f t="shared" si="86"/>
        <v>FAIL</v>
      </c>
      <c r="J161" s="1026" t="str">
        <f t="shared" si="86"/>
        <v>OK</v>
      </c>
      <c r="K161" s="1026" t="str">
        <f t="shared" si="86"/>
        <v>OK</v>
      </c>
      <c r="L161" s="1026" t="str">
        <f t="shared" si="86"/>
        <v>FAIL</v>
      </c>
      <c r="M161" s="1026" t="str">
        <f t="shared" si="86"/>
        <v>FAIL</v>
      </c>
      <c r="N161" s="1026" t="str">
        <f t="shared" si="86"/>
        <v>FAIL</v>
      </c>
      <c r="O161" s="1026" t="str">
        <f t="shared" si="86"/>
        <v>OK</v>
      </c>
      <c r="P161" s="1026" t="str">
        <f t="shared" si="86"/>
        <v>OK</v>
      </c>
      <c r="Q161" s="1026" t="str">
        <f t="shared" si="86"/>
        <v>FAIL</v>
      </c>
      <c r="R161" s="1026" t="str">
        <f t="shared" si="86"/>
        <v>FAIL</v>
      </c>
      <c r="S161" s="1026" t="str">
        <f t="shared" si="86"/>
        <v>OK</v>
      </c>
      <c r="T161" s="1026" t="str">
        <f t="shared" si="86"/>
        <v>OK</v>
      </c>
      <c r="U161" s="1026" t="str">
        <f t="shared" si="86"/>
        <v>OK</v>
      </c>
      <c r="V161" s="1026" t="str">
        <f t="shared" si="86"/>
        <v>FAIL</v>
      </c>
      <c r="W161" s="1026" t="str">
        <f t="shared" si="86"/>
        <v>OK</v>
      </c>
      <c r="X161" s="1026" t="str">
        <f t="shared" si="86"/>
        <v>OK</v>
      </c>
      <c r="Y161" s="1026" t="str">
        <f t="shared" si="86"/>
        <v>OK</v>
      </c>
      <c r="Z161" s="1026" t="str">
        <f t="shared" si="86"/>
        <v>OK</v>
      </c>
      <c r="AA161" s="1026" t="str">
        <f t="shared" si="86"/>
        <v>OK</v>
      </c>
      <c r="AB161" s="1026" t="str">
        <f t="shared" si="86"/>
        <v>OK</v>
      </c>
      <c r="AC161" s="1026" t="str">
        <f t="shared" si="86"/>
        <v>OK</v>
      </c>
      <c r="AD161" s="1026" t="str">
        <f t="shared" si="86"/>
        <v>OK</v>
      </c>
      <c r="AE161" s="1026" t="str">
        <f t="shared" si="86"/>
        <v>OK</v>
      </c>
      <c r="AF161" s="1026" t="str">
        <f t="shared" si="86"/>
        <v>OK</v>
      </c>
      <c r="AG161" s="1026" t="str">
        <f t="shared" si="86"/>
        <v>OK</v>
      </c>
      <c r="AH161" s="1026" t="str">
        <f t="shared" si="86"/>
        <v>OK</v>
      </c>
      <c r="AI161" s="1026" t="str">
        <f t="shared" si="86"/>
        <v>OK</v>
      </c>
      <c r="AJ161" s="1026" t="str">
        <f t="shared" si="86"/>
        <v>OK</v>
      </c>
      <c r="AK161" s="1052"/>
    </row>
    <row r="162" spans="1:37" hidden="1"/>
    <row r="163" spans="1:37" hidden="1">
      <c r="A163" s="998"/>
      <c r="B163" s="1051"/>
      <c r="D163" s="1048"/>
      <c r="G163" s="1052"/>
      <c r="H163" s="1052"/>
      <c r="I163" s="1052"/>
      <c r="J163" s="1052"/>
      <c r="K163" s="1026"/>
      <c r="L163" s="1026"/>
      <c r="M163" s="1026"/>
      <c r="N163" s="1026"/>
      <c r="O163" s="1026"/>
      <c r="P163" s="1026"/>
      <c r="Q163" s="1026"/>
      <c r="R163" s="1026"/>
      <c r="S163" s="1026"/>
      <c r="T163" s="1026"/>
      <c r="U163" s="1026"/>
      <c r="V163" s="1026"/>
      <c r="W163" s="1026"/>
      <c r="X163" s="1026"/>
      <c r="Y163" s="1026"/>
      <c r="Z163" s="1026"/>
      <c r="AA163" s="1026"/>
      <c r="AB163" s="1026"/>
      <c r="AC163" s="1026"/>
      <c r="AD163" s="1026"/>
      <c r="AE163" s="1052"/>
      <c r="AF163" s="1052"/>
      <c r="AG163" s="1052"/>
      <c r="AH163" s="1052"/>
      <c r="AI163" s="1052"/>
      <c r="AJ163" s="1052"/>
      <c r="AK163" s="1052"/>
    </row>
    <row r="164" spans="1:37" hidden="1">
      <c r="A164" s="998" t="s">
        <v>577</v>
      </c>
      <c r="B164" s="1051"/>
      <c r="D164" s="1048"/>
      <c r="G164" s="1026">
        <f t="shared" ref="G164:J164" si="87">G156/$C$12*$D$148</f>
        <v>0</v>
      </c>
      <c r="H164" s="1026">
        <f t="shared" si="87"/>
        <v>0</v>
      </c>
      <c r="I164" s="1026">
        <f t="shared" si="87"/>
        <v>0</v>
      </c>
      <c r="J164" s="1026">
        <f t="shared" si="87"/>
        <v>2012500</v>
      </c>
      <c r="K164" s="1026">
        <f>K156/$C$12*$D$148</f>
        <v>0</v>
      </c>
      <c r="L164" s="1026">
        <f t="shared" ref="L164:AJ164" si="88">L156/$C$12*$D$148</f>
        <v>0</v>
      </c>
      <c r="M164" s="1026">
        <f t="shared" si="88"/>
        <v>0</v>
      </c>
      <c r="N164" s="1026">
        <f t="shared" si="88"/>
        <v>0</v>
      </c>
      <c r="O164" s="1026">
        <f t="shared" si="88"/>
        <v>1775735.294117647</v>
      </c>
      <c r="P164" s="1026">
        <f t="shared" si="88"/>
        <v>0</v>
      </c>
      <c r="Q164" s="1026">
        <f t="shared" si="88"/>
        <v>0</v>
      </c>
      <c r="R164" s="1026">
        <f t="shared" si="88"/>
        <v>0</v>
      </c>
      <c r="S164" s="1026">
        <f t="shared" si="88"/>
        <v>2367647.0588235296</v>
      </c>
      <c r="T164" s="1026">
        <f t="shared" si="88"/>
        <v>0</v>
      </c>
      <c r="U164" s="1026">
        <f t="shared" si="88"/>
        <v>0</v>
      </c>
      <c r="V164" s="1026">
        <f t="shared" si="88"/>
        <v>0</v>
      </c>
      <c r="W164" s="1026">
        <f t="shared" si="88"/>
        <v>1894117.6470588236</v>
      </c>
      <c r="X164" s="1026">
        <f t="shared" si="88"/>
        <v>0</v>
      </c>
      <c r="Y164" s="1026">
        <f t="shared" si="88"/>
        <v>0</v>
      </c>
      <c r="Z164" s="1026">
        <f t="shared" si="88"/>
        <v>0</v>
      </c>
      <c r="AA164" s="1026">
        <f t="shared" si="88"/>
        <v>0</v>
      </c>
      <c r="AB164" s="1026">
        <f t="shared" si="88"/>
        <v>0</v>
      </c>
      <c r="AC164" s="1026">
        <f t="shared" si="88"/>
        <v>0</v>
      </c>
      <c r="AD164" s="1026">
        <f t="shared" si="88"/>
        <v>0</v>
      </c>
      <c r="AE164" s="1026">
        <f t="shared" si="88"/>
        <v>0</v>
      </c>
      <c r="AF164" s="1026">
        <f t="shared" si="88"/>
        <v>0</v>
      </c>
      <c r="AG164" s="1026">
        <f t="shared" si="88"/>
        <v>0</v>
      </c>
      <c r="AH164" s="1026">
        <f t="shared" si="88"/>
        <v>0</v>
      </c>
      <c r="AI164" s="1026">
        <f t="shared" si="88"/>
        <v>0</v>
      </c>
      <c r="AJ164" s="1026">
        <f t="shared" si="88"/>
        <v>0</v>
      </c>
      <c r="AK164" s="1052"/>
    </row>
    <row r="165" spans="1:37" hidden="1">
      <c r="A165" s="998" t="s">
        <v>578</v>
      </c>
      <c r="G165" s="1026">
        <f t="shared" ref="G165:AJ165" si="89">G164+F165</f>
        <v>0</v>
      </c>
      <c r="H165" s="1026">
        <f t="shared" si="89"/>
        <v>0</v>
      </c>
      <c r="I165" s="1026">
        <f t="shared" si="89"/>
        <v>0</v>
      </c>
      <c r="J165" s="1026">
        <f t="shared" si="89"/>
        <v>2012500</v>
      </c>
      <c r="K165" s="1026">
        <f t="shared" si="89"/>
        <v>2012500</v>
      </c>
      <c r="L165" s="1026">
        <f t="shared" si="89"/>
        <v>2012500</v>
      </c>
      <c r="M165" s="1026">
        <f t="shared" si="89"/>
        <v>2012500</v>
      </c>
      <c r="N165" s="1026">
        <f t="shared" si="89"/>
        <v>2012500</v>
      </c>
      <c r="O165" s="1026">
        <f t="shared" si="89"/>
        <v>3788235.2941176472</v>
      </c>
      <c r="P165" s="1026">
        <f t="shared" si="89"/>
        <v>3788235.2941176472</v>
      </c>
      <c r="Q165" s="1026">
        <f t="shared" si="89"/>
        <v>3788235.2941176472</v>
      </c>
      <c r="R165" s="1026">
        <f t="shared" si="89"/>
        <v>3788235.2941176472</v>
      </c>
      <c r="S165" s="1026">
        <f t="shared" si="89"/>
        <v>6155882.3529411769</v>
      </c>
      <c r="T165" s="1026">
        <f t="shared" si="89"/>
        <v>6155882.3529411769</v>
      </c>
      <c r="U165" s="1026">
        <f t="shared" si="89"/>
        <v>6155882.3529411769</v>
      </c>
      <c r="V165" s="1026">
        <f t="shared" si="89"/>
        <v>6155882.3529411769</v>
      </c>
      <c r="W165" s="1026">
        <f t="shared" si="89"/>
        <v>8050000</v>
      </c>
      <c r="X165" s="1026">
        <f t="shared" si="89"/>
        <v>8050000</v>
      </c>
      <c r="Y165" s="1026">
        <f t="shared" si="89"/>
        <v>8050000</v>
      </c>
      <c r="Z165" s="1026">
        <f t="shared" si="89"/>
        <v>8050000</v>
      </c>
      <c r="AA165" s="1026">
        <f t="shared" si="89"/>
        <v>8050000</v>
      </c>
      <c r="AB165" s="1026">
        <f t="shared" si="89"/>
        <v>8050000</v>
      </c>
      <c r="AC165" s="1026">
        <f t="shared" si="89"/>
        <v>8050000</v>
      </c>
      <c r="AD165" s="1026">
        <f t="shared" si="89"/>
        <v>8050000</v>
      </c>
      <c r="AE165" s="1026">
        <f t="shared" si="89"/>
        <v>8050000</v>
      </c>
      <c r="AF165" s="1026">
        <f t="shared" si="89"/>
        <v>8050000</v>
      </c>
      <c r="AG165" s="1026">
        <f t="shared" si="89"/>
        <v>8050000</v>
      </c>
      <c r="AH165" s="1026">
        <f t="shared" si="89"/>
        <v>8050000</v>
      </c>
      <c r="AI165" s="1026">
        <f t="shared" si="89"/>
        <v>8050000</v>
      </c>
      <c r="AJ165" s="1026">
        <f t="shared" si="89"/>
        <v>8050000</v>
      </c>
    </row>
    <row r="166" spans="1:37" hidden="1">
      <c r="A166" s="998" t="s">
        <v>579</v>
      </c>
      <c r="B166" s="937"/>
      <c r="D166" s="1048"/>
      <c r="G166" s="1026">
        <f>SUM($G$125:G125)</f>
        <v>0</v>
      </c>
      <c r="H166" s="1026">
        <f>SUM($G$125:H125)</f>
        <v>0</v>
      </c>
      <c r="I166" s="1026">
        <f>SUM($G$125:I125)</f>
        <v>0</v>
      </c>
      <c r="J166" s="1026">
        <f>SUM($G$125:J125)</f>
        <v>0</v>
      </c>
      <c r="K166" s="1026">
        <f>SUM($G$125:K125)</f>
        <v>0</v>
      </c>
      <c r="L166" s="1026">
        <f>SUM($G$125:L125)</f>
        <v>0</v>
      </c>
      <c r="M166" s="1026">
        <f>SUM($G$125:M125)</f>
        <v>0</v>
      </c>
      <c r="N166" s="1026">
        <f>SUM($G$125:N125)</f>
        <v>0</v>
      </c>
      <c r="O166" s="1026">
        <f>SUM($G$125:O125)</f>
        <v>0</v>
      </c>
      <c r="P166" s="1026">
        <f>SUM($G$125:P125)</f>
        <v>0</v>
      </c>
      <c r="Q166" s="1026">
        <f>SUM($G$125:Q125)</f>
        <v>0</v>
      </c>
      <c r="R166" s="1026">
        <f>SUM($G$125:R125)</f>
        <v>0</v>
      </c>
      <c r="S166" s="1026">
        <f>SUM($G$125:S125)</f>
        <v>0</v>
      </c>
      <c r="T166" s="1026">
        <f>SUM($G$125:T125)</f>
        <v>0</v>
      </c>
      <c r="U166" s="1026">
        <f>SUM($G$125:U125)</f>
        <v>0</v>
      </c>
      <c r="V166" s="1026">
        <f>SUM($G$125:V125)</f>
        <v>0</v>
      </c>
      <c r="W166" s="1026">
        <f>SUM($G$125:W125)</f>
        <v>0</v>
      </c>
      <c r="X166" s="1026">
        <f>SUM($G$125:X125)</f>
        <v>0</v>
      </c>
      <c r="Y166" s="1026">
        <f>SUM($G$125:Y125)</f>
        <v>0</v>
      </c>
      <c r="Z166" s="1026">
        <f>SUM($G$125:Z125)</f>
        <v>0</v>
      </c>
      <c r="AA166" s="1026">
        <f>SUM($G$125:AA125)</f>
        <v>0</v>
      </c>
      <c r="AB166" s="1026">
        <f>SUM($G$125:AB125)</f>
        <v>0</v>
      </c>
      <c r="AC166" s="1026">
        <f>SUM($G$125:AC125)</f>
        <v>0</v>
      </c>
      <c r="AD166" s="1026">
        <f>SUM($G$125:AD125)</f>
        <v>0</v>
      </c>
      <c r="AE166" s="1026">
        <f>SUM($G$125:AE125)</f>
        <v>0</v>
      </c>
      <c r="AF166" s="1026">
        <f>SUM($G$125:AF125)</f>
        <v>0</v>
      </c>
      <c r="AG166" s="1026">
        <f>SUM($G$125:AG125)</f>
        <v>0</v>
      </c>
      <c r="AH166" s="1026">
        <f>SUM($G$125:AH125)</f>
        <v>0</v>
      </c>
      <c r="AI166" s="1026">
        <f>SUM($G$125:AI125)</f>
        <v>0</v>
      </c>
      <c r="AJ166" s="1026">
        <f>SUM($G$125:AJ125)</f>
        <v>0</v>
      </c>
    </row>
    <row r="167" spans="1:37" hidden="1">
      <c r="A167" s="998" t="s">
        <v>584</v>
      </c>
      <c r="C167" s="938" t="s">
        <v>464</v>
      </c>
      <c r="G167" s="1026">
        <f>G165-G166</f>
        <v>0</v>
      </c>
      <c r="H167" s="1026">
        <f t="shared" ref="H167:L167" si="90">H165-H166</f>
        <v>0</v>
      </c>
      <c r="I167" s="1026">
        <f t="shared" si="90"/>
        <v>0</v>
      </c>
      <c r="J167" s="1026">
        <f t="shared" si="90"/>
        <v>2012500</v>
      </c>
      <c r="K167" s="1026">
        <f t="shared" si="90"/>
        <v>2012500</v>
      </c>
      <c r="L167" s="1026">
        <f t="shared" si="90"/>
        <v>2012500</v>
      </c>
      <c r="M167" s="1026">
        <f t="shared" ref="M167" si="91">M165-M166</f>
        <v>2012500</v>
      </c>
      <c r="N167" s="1026">
        <f t="shared" ref="N167" si="92">N165-N166</f>
        <v>2012500</v>
      </c>
      <c r="O167" s="1026">
        <f t="shared" ref="O167" si="93">O165-O166</f>
        <v>3788235.2941176472</v>
      </c>
      <c r="P167" s="1026">
        <f t="shared" ref="P167:Q167" si="94">P165-P166</f>
        <v>3788235.2941176472</v>
      </c>
      <c r="Q167" s="1026">
        <f t="shared" si="94"/>
        <v>3788235.2941176472</v>
      </c>
      <c r="R167" s="1026">
        <f t="shared" ref="R167" si="95">R165-R166</f>
        <v>3788235.2941176472</v>
      </c>
      <c r="S167" s="1026">
        <f t="shared" ref="S167" si="96">S165-S166</f>
        <v>6155882.3529411769</v>
      </c>
      <c r="T167" s="1026">
        <f t="shared" ref="T167" si="97">T165-T166</f>
        <v>6155882.3529411769</v>
      </c>
      <c r="U167" s="1026">
        <f t="shared" ref="U167:V167" si="98">U165-U166</f>
        <v>6155882.3529411769</v>
      </c>
      <c r="V167" s="1026">
        <f t="shared" si="98"/>
        <v>6155882.3529411769</v>
      </c>
      <c r="W167" s="1026">
        <f t="shared" ref="W167" si="99">W165-W166</f>
        <v>8050000</v>
      </c>
      <c r="X167" s="1026">
        <f t="shared" ref="X167" si="100">X165-X166</f>
        <v>8050000</v>
      </c>
      <c r="Y167" s="1026">
        <f t="shared" ref="Y167" si="101">Y165-Y166</f>
        <v>8050000</v>
      </c>
      <c r="Z167" s="1026">
        <f t="shared" ref="Z167:AA167" si="102">Z165-Z166</f>
        <v>8050000</v>
      </c>
      <c r="AA167" s="1026">
        <f t="shared" si="102"/>
        <v>8050000</v>
      </c>
      <c r="AB167" s="1026">
        <f t="shared" ref="AB167" si="103">AB165-AB166</f>
        <v>8050000</v>
      </c>
      <c r="AC167" s="1026">
        <f t="shared" ref="AC167" si="104">AC165-AC166</f>
        <v>8050000</v>
      </c>
      <c r="AD167" s="1026">
        <f t="shared" ref="AD167" si="105">AD165-AD166</f>
        <v>8050000</v>
      </c>
      <c r="AE167" s="1026">
        <f t="shared" ref="AE167:AF167" si="106">AE165-AE166</f>
        <v>8050000</v>
      </c>
      <c r="AF167" s="1026">
        <f t="shared" si="106"/>
        <v>8050000</v>
      </c>
      <c r="AG167" s="1026">
        <f t="shared" ref="AG167" si="107">AG165-AG166</f>
        <v>8050000</v>
      </c>
      <c r="AH167" s="1026">
        <f t="shared" ref="AH167" si="108">AH165-AH166</f>
        <v>8050000</v>
      </c>
      <c r="AI167" s="1026">
        <f t="shared" ref="AI167" si="109">AI165-AI166</f>
        <v>8050000</v>
      </c>
      <c r="AJ167" s="1026">
        <f t="shared" ref="AJ167" si="110">AJ165-AJ166</f>
        <v>8050000</v>
      </c>
    </row>
    <row r="168" spans="1:37" hidden="1">
      <c r="A168" s="998" t="s">
        <v>465</v>
      </c>
      <c r="B168" s="937"/>
      <c r="D168" s="1048"/>
      <c r="G168" s="1026" t="str">
        <f>IF(G175&gt;G165, "FAIL", "OK")</f>
        <v>FAIL</v>
      </c>
      <c r="H168" s="1026" t="str">
        <f>IF(H175&gt;H165, "FAIL", "OK")</f>
        <v>FAIL</v>
      </c>
      <c r="I168" s="1026" t="str">
        <f>IF(I175&gt;I165, "FAIL", "OK")</f>
        <v>FAIL</v>
      </c>
      <c r="J168" s="1026" t="str">
        <f>IF(J175&gt;J165, "FAIL", "OK")</f>
        <v>FAIL</v>
      </c>
      <c r="K168" s="1026" t="str">
        <f t="shared" ref="K168:N168" si="111">IF(K175&gt;K165, "FAIL", "OK")</f>
        <v>FAIL</v>
      </c>
      <c r="L168" s="1026" t="str">
        <f t="shared" si="111"/>
        <v>FAIL</v>
      </c>
      <c r="M168" s="1026" t="str">
        <f t="shared" si="111"/>
        <v>FAIL</v>
      </c>
      <c r="N168" s="1026" t="str">
        <f t="shared" si="111"/>
        <v>FAIL</v>
      </c>
      <c r="O168" s="1026" t="str">
        <f t="shared" ref="O168:AJ168" si="112">IF(O175&gt;O165, "FAIL", "OK")</f>
        <v>FAIL</v>
      </c>
      <c r="P168" s="1026" t="str">
        <f t="shared" si="112"/>
        <v>FAIL</v>
      </c>
      <c r="Q168" s="1026" t="str">
        <f t="shared" si="112"/>
        <v>FAIL</v>
      </c>
      <c r="R168" s="1026" t="str">
        <f t="shared" si="112"/>
        <v>FAIL</v>
      </c>
      <c r="S168" s="1026" t="str">
        <f t="shared" si="112"/>
        <v>FAIL</v>
      </c>
      <c r="T168" s="1026" t="str">
        <f t="shared" si="112"/>
        <v>FAIL</v>
      </c>
      <c r="U168" s="1026" t="str">
        <f t="shared" si="112"/>
        <v>FAIL</v>
      </c>
      <c r="V168" s="1026" t="str">
        <f t="shared" si="112"/>
        <v>FAIL</v>
      </c>
      <c r="W168" s="1026" t="str">
        <f t="shared" si="112"/>
        <v>FAIL</v>
      </c>
      <c r="X168" s="1026" t="str">
        <f t="shared" si="112"/>
        <v>FAIL</v>
      </c>
      <c r="Y168" s="1026" t="str">
        <f t="shared" si="112"/>
        <v>FAIL</v>
      </c>
      <c r="Z168" s="1026" t="str">
        <f t="shared" si="112"/>
        <v>FAIL</v>
      </c>
      <c r="AA168" s="1026" t="str">
        <f t="shared" si="112"/>
        <v>FAIL</v>
      </c>
      <c r="AB168" s="1026" t="str">
        <f t="shared" si="112"/>
        <v>FAIL</v>
      </c>
      <c r="AC168" s="1026" t="str">
        <f t="shared" si="112"/>
        <v>FAIL</v>
      </c>
      <c r="AD168" s="1026" t="str">
        <f t="shared" si="112"/>
        <v>FAIL</v>
      </c>
      <c r="AE168" s="1026" t="str">
        <f t="shared" si="112"/>
        <v>FAIL</v>
      </c>
      <c r="AF168" s="1026" t="str">
        <f t="shared" si="112"/>
        <v>FAIL</v>
      </c>
      <c r="AG168" s="1026" t="str">
        <f t="shared" si="112"/>
        <v>FAIL</v>
      </c>
      <c r="AH168" s="1026" t="str">
        <f t="shared" si="112"/>
        <v>FAIL</v>
      </c>
      <c r="AI168" s="1026" t="str">
        <f t="shared" si="112"/>
        <v>FAIL</v>
      </c>
      <c r="AJ168" s="1026" t="str">
        <f t="shared" si="112"/>
        <v>FAIL</v>
      </c>
    </row>
    <row r="169" spans="1:37" hidden="1"/>
    <row r="170" spans="1:37" hidden="1">
      <c r="A170" s="998"/>
      <c r="B170" s="937"/>
      <c r="D170" s="1048"/>
      <c r="G170" s="1026"/>
      <c r="H170" s="1026"/>
      <c r="I170" s="1026"/>
      <c r="J170" s="1026"/>
      <c r="K170" s="1026"/>
      <c r="L170" s="1026"/>
      <c r="M170" s="1026"/>
      <c r="N170" s="1026"/>
      <c r="O170" s="1026"/>
      <c r="P170" s="1026"/>
      <c r="Q170" s="1026"/>
      <c r="R170" s="1026"/>
      <c r="S170" s="1026"/>
      <c r="T170" s="1026"/>
      <c r="U170" s="1026"/>
      <c r="V170" s="1026"/>
      <c r="W170" s="1026"/>
      <c r="X170" s="1026"/>
      <c r="Y170" s="1026"/>
      <c r="Z170" s="1026"/>
      <c r="AA170" s="1026"/>
      <c r="AB170" s="1026"/>
      <c r="AC170" s="1026"/>
      <c r="AD170" s="1026"/>
      <c r="AE170" s="1026"/>
      <c r="AF170" s="1026"/>
      <c r="AG170" s="1026"/>
      <c r="AH170" s="1026"/>
      <c r="AI170" s="1026"/>
      <c r="AJ170" s="1026"/>
    </row>
    <row r="171" spans="1:37" hidden="1">
      <c r="A171" s="998" t="s">
        <v>466</v>
      </c>
      <c r="B171" s="937"/>
      <c r="D171" s="1048"/>
      <c r="F171" s="1026">
        <f>F158+F165</f>
        <v>0</v>
      </c>
      <c r="G171" s="1026">
        <f>G158+G165</f>
        <v>0</v>
      </c>
      <c r="H171" s="1026">
        <f t="shared" ref="H171:AJ171" si="113">H158+H165</f>
        <v>0</v>
      </c>
      <c r="I171" s="1026">
        <f t="shared" si="113"/>
        <v>0</v>
      </c>
      <c r="J171" s="1026">
        <f t="shared" si="113"/>
        <v>4762500</v>
      </c>
      <c r="K171" s="1026">
        <f t="shared" si="113"/>
        <v>4762500</v>
      </c>
      <c r="L171" s="1026">
        <f t="shared" si="113"/>
        <v>4762500</v>
      </c>
      <c r="M171" s="1026">
        <f t="shared" si="113"/>
        <v>4762500</v>
      </c>
      <c r="N171" s="1026">
        <f t="shared" si="113"/>
        <v>4762500</v>
      </c>
      <c r="O171" s="1026">
        <f t="shared" si="113"/>
        <v>8964705.8823529407</v>
      </c>
      <c r="P171" s="1026">
        <f t="shared" si="113"/>
        <v>8964705.8823529407</v>
      </c>
      <c r="Q171" s="1026">
        <f t="shared" si="113"/>
        <v>8964705.8823529407</v>
      </c>
      <c r="R171" s="1026">
        <f t="shared" si="113"/>
        <v>8964705.8823529407</v>
      </c>
      <c r="S171" s="1026">
        <f t="shared" si="113"/>
        <v>14567647.05882353</v>
      </c>
      <c r="T171" s="1026">
        <f t="shared" si="113"/>
        <v>14567647.05882353</v>
      </c>
      <c r="U171" s="1026">
        <f t="shared" si="113"/>
        <v>14567647.05882353</v>
      </c>
      <c r="V171" s="1026">
        <f t="shared" si="113"/>
        <v>14567647.05882353</v>
      </c>
      <c r="W171" s="1026">
        <f t="shared" si="113"/>
        <v>19050000</v>
      </c>
      <c r="X171" s="1026">
        <f t="shared" si="113"/>
        <v>19050000</v>
      </c>
      <c r="Y171" s="1026">
        <f t="shared" si="113"/>
        <v>19050000</v>
      </c>
      <c r="Z171" s="1026">
        <f t="shared" si="113"/>
        <v>19050000</v>
      </c>
      <c r="AA171" s="1026">
        <f t="shared" si="113"/>
        <v>19050000</v>
      </c>
      <c r="AB171" s="1026">
        <f t="shared" si="113"/>
        <v>19050000</v>
      </c>
      <c r="AC171" s="1026">
        <f t="shared" si="113"/>
        <v>19050000</v>
      </c>
      <c r="AD171" s="1026">
        <f t="shared" si="113"/>
        <v>19050000</v>
      </c>
      <c r="AE171" s="1026">
        <f t="shared" si="113"/>
        <v>19050000</v>
      </c>
      <c r="AF171" s="1026">
        <f t="shared" si="113"/>
        <v>19050000</v>
      </c>
      <c r="AG171" s="1026">
        <f t="shared" si="113"/>
        <v>19050000</v>
      </c>
      <c r="AH171" s="1026">
        <f t="shared" si="113"/>
        <v>19050000</v>
      </c>
      <c r="AI171" s="1026">
        <f t="shared" si="113"/>
        <v>19050000</v>
      </c>
      <c r="AJ171" s="1026">
        <f t="shared" si="113"/>
        <v>19050000</v>
      </c>
    </row>
    <row r="172" spans="1:37">
      <c r="A172" s="998"/>
      <c r="B172" s="937"/>
      <c r="D172" s="1048"/>
      <c r="G172" s="1026"/>
      <c r="H172" s="1026"/>
      <c r="I172" s="1026"/>
      <c r="J172" s="1026"/>
      <c r="K172" s="1026"/>
      <c r="L172" s="1026"/>
      <c r="M172" s="1026"/>
      <c r="N172" s="1026"/>
      <c r="O172" s="1026"/>
      <c r="P172" s="1026"/>
      <c r="Q172" s="1026"/>
      <c r="R172" s="1026"/>
      <c r="S172" s="1026"/>
      <c r="T172" s="1026"/>
      <c r="U172" s="1026"/>
      <c r="V172" s="1026"/>
      <c r="W172" s="1026"/>
      <c r="X172" s="1026"/>
      <c r="Y172" s="1026"/>
      <c r="Z172" s="1026"/>
      <c r="AA172" s="1026"/>
      <c r="AB172" s="1026"/>
      <c r="AC172" s="1026"/>
      <c r="AD172" s="1026"/>
      <c r="AE172" s="1026"/>
      <c r="AF172" s="1026"/>
      <c r="AG172" s="1026"/>
      <c r="AH172" s="1026"/>
      <c r="AI172" s="1026"/>
      <c r="AJ172" s="1026"/>
    </row>
    <row r="173" spans="1:37">
      <c r="A173" s="976" t="s">
        <v>580</v>
      </c>
      <c r="G173" s="1026"/>
      <c r="H173" s="1026"/>
      <c r="I173" s="1026"/>
      <c r="J173" s="1026"/>
      <c r="K173" s="1026"/>
      <c r="L173" s="1026"/>
      <c r="M173" s="1026"/>
      <c r="N173" s="1026"/>
      <c r="O173" s="1026"/>
      <c r="P173" s="1026"/>
      <c r="Q173" s="1026"/>
      <c r="R173" s="1026"/>
      <c r="S173" s="1026"/>
      <c r="T173" s="1026"/>
      <c r="U173" s="1026"/>
      <c r="V173" s="1026"/>
      <c r="W173" s="1026"/>
      <c r="X173" s="1026"/>
      <c r="Y173" s="1026"/>
      <c r="Z173" s="1026"/>
      <c r="AA173" s="1026"/>
      <c r="AB173" s="1026"/>
      <c r="AC173" s="1026"/>
      <c r="AD173" s="1026"/>
      <c r="AE173" s="1026"/>
      <c r="AF173" s="1026"/>
      <c r="AG173" s="1026"/>
      <c r="AH173" s="1026"/>
      <c r="AI173" s="1026"/>
      <c r="AJ173" s="1026"/>
    </row>
    <row r="174" spans="1:37">
      <c r="A174" s="938" t="s">
        <v>467</v>
      </c>
      <c r="F174" s="1026">
        <f t="shared" ref="F174:AJ174" si="114">SUM(F123)</f>
        <v>0</v>
      </c>
      <c r="G174" s="1026">
        <f t="shared" si="114"/>
        <v>460000</v>
      </c>
      <c r="H174" s="1026">
        <f t="shared" si="114"/>
        <v>575000</v>
      </c>
      <c r="I174" s="1026">
        <f t="shared" si="114"/>
        <v>805000</v>
      </c>
      <c r="J174" s="1026">
        <f t="shared" si="114"/>
        <v>460000</v>
      </c>
      <c r="K174" s="1026">
        <f t="shared" si="114"/>
        <v>202941.17647058825</v>
      </c>
      <c r="L174" s="1026">
        <f t="shared" si="114"/>
        <v>405882.3529411765</v>
      </c>
      <c r="M174" s="1026">
        <f t="shared" si="114"/>
        <v>608823.5294117647</v>
      </c>
      <c r="N174" s="1026">
        <f t="shared" si="114"/>
        <v>608823.5294117647</v>
      </c>
      <c r="O174" s="1026">
        <f t="shared" si="114"/>
        <v>202941.17647058825</v>
      </c>
      <c r="P174" s="1026">
        <f t="shared" si="114"/>
        <v>270588.23529411765</v>
      </c>
      <c r="Q174" s="1026">
        <f t="shared" si="114"/>
        <v>811764.70588235301</v>
      </c>
      <c r="R174" s="1026">
        <f t="shared" si="114"/>
        <v>1082352.9411764706</v>
      </c>
      <c r="S174" s="1026">
        <f t="shared" si="114"/>
        <v>541176.4705882353</v>
      </c>
      <c r="T174" s="1026">
        <f t="shared" si="114"/>
        <v>324705.88235294115</v>
      </c>
      <c r="U174" s="1026">
        <f t="shared" si="114"/>
        <v>541176.4705882353</v>
      </c>
      <c r="V174" s="1026">
        <f t="shared" si="114"/>
        <v>865882.3529411765</v>
      </c>
      <c r="W174" s="1026">
        <f t="shared" si="114"/>
        <v>432941.17647058825</v>
      </c>
      <c r="X174" s="1026">
        <f t="shared" si="114"/>
        <v>360000</v>
      </c>
      <c r="Y174" s="1026">
        <f t="shared" si="114"/>
        <v>360000</v>
      </c>
      <c r="Z174" s="1026">
        <f t="shared" si="114"/>
        <v>360000</v>
      </c>
      <c r="AA174" s="1026">
        <f t="shared" si="114"/>
        <v>360000</v>
      </c>
      <c r="AB174" s="1026">
        <f t="shared" si="114"/>
        <v>360000</v>
      </c>
      <c r="AC174" s="1026">
        <f t="shared" si="114"/>
        <v>0</v>
      </c>
      <c r="AD174" s="1026">
        <f t="shared" si="114"/>
        <v>0</v>
      </c>
      <c r="AE174" s="1026">
        <f t="shared" si="114"/>
        <v>0</v>
      </c>
      <c r="AF174" s="1026">
        <f t="shared" si="114"/>
        <v>0</v>
      </c>
      <c r="AG174" s="1026">
        <f t="shared" si="114"/>
        <v>0</v>
      </c>
      <c r="AH174" s="1026">
        <f t="shared" si="114"/>
        <v>0</v>
      </c>
      <c r="AI174" s="1026">
        <f t="shared" si="114"/>
        <v>0</v>
      </c>
      <c r="AJ174" s="1026">
        <f t="shared" si="114"/>
        <v>0</v>
      </c>
    </row>
    <row r="175" spans="1:37">
      <c r="A175" s="938" t="s">
        <v>468</v>
      </c>
      <c r="F175" s="1026">
        <f>F174</f>
        <v>0</v>
      </c>
      <c r="G175" s="1026">
        <f>G174+F175</f>
        <v>460000</v>
      </c>
      <c r="H175" s="1026">
        <f t="shared" ref="H175:AJ175" si="115">H174+G175</f>
        <v>1035000</v>
      </c>
      <c r="I175" s="1026">
        <f t="shared" si="115"/>
        <v>1840000</v>
      </c>
      <c r="J175" s="1026">
        <f t="shared" si="115"/>
        <v>2300000</v>
      </c>
      <c r="K175" s="1026">
        <f t="shared" si="115"/>
        <v>2502941.1764705884</v>
      </c>
      <c r="L175" s="1026">
        <f t="shared" si="115"/>
        <v>2908823.5294117648</v>
      </c>
      <c r="M175" s="1026">
        <f t="shared" si="115"/>
        <v>3517647.0588235296</v>
      </c>
      <c r="N175" s="1026">
        <f t="shared" si="115"/>
        <v>4126470.5882352944</v>
      </c>
      <c r="O175" s="1026">
        <f t="shared" si="115"/>
        <v>4329411.7647058824</v>
      </c>
      <c r="P175" s="1026">
        <f t="shared" si="115"/>
        <v>4600000</v>
      </c>
      <c r="Q175" s="1026">
        <f t="shared" si="115"/>
        <v>5411764.7058823528</v>
      </c>
      <c r="R175" s="1026">
        <f t="shared" si="115"/>
        <v>6494117.6470588231</v>
      </c>
      <c r="S175" s="1026">
        <f t="shared" si="115"/>
        <v>7035294.1176470583</v>
      </c>
      <c r="T175" s="1026">
        <f t="shared" si="115"/>
        <v>7359999.9999999991</v>
      </c>
      <c r="U175" s="1026">
        <f t="shared" si="115"/>
        <v>7901176.4705882343</v>
      </c>
      <c r="V175" s="1026">
        <f t="shared" si="115"/>
        <v>8767058.8235294111</v>
      </c>
      <c r="W175" s="1026">
        <f t="shared" si="115"/>
        <v>9200000</v>
      </c>
      <c r="X175" s="1026">
        <f t="shared" si="115"/>
        <v>9560000</v>
      </c>
      <c r="Y175" s="1026">
        <f t="shared" si="115"/>
        <v>9920000</v>
      </c>
      <c r="Z175" s="1026">
        <f t="shared" si="115"/>
        <v>10280000</v>
      </c>
      <c r="AA175" s="1026">
        <f t="shared" si="115"/>
        <v>10640000</v>
      </c>
      <c r="AB175" s="1026">
        <f t="shared" si="115"/>
        <v>11000000</v>
      </c>
      <c r="AC175" s="1026">
        <f t="shared" si="115"/>
        <v>11000000</v>
      </c>
      <c r="AD175" s="1026">
        <f t="shared" si="115"/>
        <v>11000000</v>
      </c>
      <c r="AE175" s="1026">
        <f t="shared" si="115"/>
        <v>11000000</v>
      </c>
      <c r="AF175" s="1026">
        <f t="shared" si="115"/>
        <v>11000000</v>
      </c>
      <c r="AG175" s="1026">
        <f t="shared" si="115"/>
        <v>11000000</v>
      </c>
      <c r="AH175" s="1026">
        <f t="shared" si="115"/>
        <v>11000000</v>
      </c>
      <c r="AI175" s="1026">
        <f t="shared" si="115"/>
        <v>11000000</v>
      </c>
      <c r="AJ175" s="1026">
        <f t="shared" si="115"/>
        <v>11000000</v>
      </c>
    </row>
    <row r="176" spans="1:37">
      <c r="A176" s="938" t="s">
        <v>469</v>
      </c>
      <c r="F176" s="1026">
        <f>F175*'Cons Int &amp; Neg Arb'!$E$31/12</f>
        <v>0</v>
      </c>
      <c r="G176" s="1026">
        <f>G175*'Cons Int &amp; Neg Arb'!$E$31/12</f>
        <v>383.33333333333331</v>
      </c>
      <c r="H176" s="1026">
        <f>H175*'Cons Int &amp; Neg Arb'!$E$31/12</f>
        <v>862.5</v>
      </c>
      <c r="I176" s="1026">
        <f>I175*'Cons Int &amp; Neg Arb'!$E$31/12</f>
        <v>1533.3333333333333</v>
      </c>
      <c r="J176" s="1026">
        <f>J175*'Cons Int &amp; Neg Arb'!$E$31/12</f>
        <v>1916.6666666666667</v>
      </c>
      <c r="K176" s="1026">
        <f>K175*'Cons Int &amp; Neg Arb'!$E$31/12</f>
        <v>2085.7843137254904</v>
      </c>
      <c r="L176" s="1026">
        <f>L175*'Cons Int &amp; Neg Arb'!$E$31/12</f>
        <v>2424.0196078431377</v>
      </c>
      <c r="M176" s="1026">
        <f>M175*'Cons Int &amp; Neg Arb'!$E$31/12</f>
        <v>2931.372549019608</v>
      </c>
      <c r="N176" s="1026">
        <f>N175*'Cons Int &amp; Neg Arb'!$E$31/12</f>
        <v>3438.7254901960787</v>
      </c>
      <c r="O176" s="1026">
        <f>O175*'Cons Int &amp; Neg Arb'!$E$31/12</f>
        <v>3607.8431372549021</v>
      </c>
      <c r="P176" s="1026">
        <f>P175*'Cons Int &amp; Neg Arb'!$E$31/12</f>
        <v>3833.3333333333335</v>
      </c>
      <c r="Q176" s="1026">
        <f>Q175*'Cons Int &amp; Neg Arb'!$E$31/12</f>
        <v>4509.8039215686276</v>
      </c>
      <c r="R176" s="1026">
        <f>R175*'Cons Int &amp; Neg Arb'!$E$31/12</f>
        <v>5411.7647058823522</v>
      </c>
      <c r="S176" s="1026">
        <f>S175*'Cons Int &amp; Neg Arb'!$E$31/12</f>
        <v>5862.7450980392159</v>
      </c>
      <c r="T176" s="1026">
        <f>T175*'Cons Int &amp; Neg Arb'!$E$31/12</f>
        <v>6133.3333333333321</v>
      </c>
      <c r="U176" s="1026">
        <f>U175*'Cons Int &amp; Neg Arb'!$E$31/12</f>
        <v>6584.3137254901958</v>
      </c>
      <c r="V176" s="1026">
        <f>V175*'Cons Int &amp; Neg Arb'!$E$31/12</f>
        <v>7305.8823529411757</v>
      </c>
      <c r="W176" s="1026">
        <f>W175*'Cons Int &amp; Neg Arb'!$E$31/12</f>
        <v>7666.666666666667</v>
      </c>
      <c r="X176" s="1026">
        <f>X175*'Cons Int &amp; Neg Arb'!$E$31/12</f>
        <v>7966.666666666667</v>
      </c>
      <c r="Y176" s="1026">
        <f>Y175*'Cons Int &amp; Neg Arb'!$E$31/12</f>
        <v>8266.6666666666661</v>
      </c>
      <c r="Z176" s="1026">
        <f>Z175*'Cons Int &amp; Neg Arb'!$E$31/12</f>
        <v>8566.6666666666661</v>
      </c>
      <c r="AA176" s="1026">
        <f>AA175*'Cons Int &amp; Neg Arb'!$E$31/12</f>
        <v>8866.6666666666661</v>
      </c>
      <c r="AB176" s="1026">
        <f>AB175*'Cons Int &amp; Neg Arb'!$E$31/12</f>
        <v>9166.6666666666661</v>
      </c>
      <c r="AC176" s="1026">
        <f>AC175*'Cons Int &amp; Neg Arb'!$E$31/12</f>
        <v>9166.6666666666661</v>
      </c>
      <c r="AD176" s="1026">
        <f>AD175*'Cons Int &amp; Neg Arb'!$E$31/12</f>
        <v>9166.6666666666661</v>
      </c>
      <c r="AE176" s="1026">
        <f>AE175*'Cons Int &amp; Neg Arb'!$E$31/12</f>
        <v>9166.6666666666661</v>
      </c>
      <c r="AF176" s="1026">
        <f>AF175*'Cons Int &amp; Neg Arb'!$E$31/12</f>
        <v>9166.6666666666661</v>
      </c>
      <c r="AG176" s="1026">
        <f>AG175*'Cons Int &amp; Neg Arb'!$E$31/12</f>
        <v>9166.6666666666661</v>
      </c>
      <c r="AH176" s="1026">
        <f>AH175*'Cons Int &amp; Neg Arb'!$E$31/12</f>
        <v>9166.6666666666661</v>
      </c>
      <c r="AI176" s="1026">
        <f>AI175*'Cons Int &amp; Neg Arb'!$E$31/12</f>
        <v>9166.6666666666661</v>
      </c>
      <c r="AJ176" s="1026">
        <f>AJ175*'Cons Int &amp; Neg Arb'!$E$31/12</f>
        <v>9166.6666666666661</v>
      </c>
    </row>
    <row r="177" spans="1:36">
      <c r="G177" s="1026"/>
      <c r="H177" s="1026"/>
      <c r="I177" s="1026"/>
      <c r="J177" s="1026"/>
      <c r="K177" s="1026"/>
      <c r="L177" s="1026"/>
      <c r="M177" s="1026"/>
      <c r="N177" s="1026"/>
      <c r="O177" s="1026"/>
      <c r="P177" s="1026"/>
      <c r="Q177" s="1026"/>
      <c r="R177" s="1026"/>
      <c r="S177" s="1026"/>
      <c r="T177" s="1026"/>
      <c r="U177" s="1026"/>
      <c r="V177" s="1026"/>
      <c r="W177" s="1026"/>
      <c r="X177" s="1026"/>
      <c r="Y177" s="1026"/>
      <c r="Z177" s="1026"/>
      <c r="AA177" s="1026"/>
      <c r="AB177" s="1026"/>
      <c r="AC177" s="1026"/>
      <c r="AD177" s="1026"/>
      <c r="AE177" s="1026"/>
      <c r="AF177" s="1026"/>
      <c r="AG177" s="1026"/>
      <c r="AH177" s="1026"/>
      <c r="AI177" s="1026"/>
      <c r="AJ177" s="1026"/>
    </row>
    <row r="178" spans="1:36">
      <c r="A178" s="976" t="s">
        <v>581</v>
      </c>
      <c r="G178" s="1026"/>
      <c r="H178" s="1026"/>
      <c r="I178" s="1026"/>
      <c r="J178" s="1026"/>
      <c r="K178" s="1026"/>
      <c r="L178" s="1026"/>
      <c r="M178" s="1026"/>
      <c r="N178" s="1026"/>
      <c r="O178" s="1026"/>
      <c r="P178" s="1026"/>
      <c r="Q178" s="1026"/>
      <c r="R178" s="1026"/>
      <c r="S178" s="1026"/>
      <c r="T178" s="1026"/>
      <c r="U178" s="1026"/>
      <c r="V178" s="1026"/>
      <c r="W178" s="1026"/>
      <c r="X178" s="1026"/>
      <c r="Y178" s="1026"/>
      <c r="Z178" s="1026"/>
      <c r="AA178" s="1026"/>
      <c r="AB178" s="1026"/>
      <c r="AC178" s="1026"/>
      <c r="AD178" s="1026"/>
      <c r="AE178" s="1026"/>
      <c r="AF178" s="1026"/>
      <c r="AG178" s="1026"/>
      <c r="AH178" s="1026"/>
      <c r="AI178" s="1026"/>
      <c r="AJ178" s="1026"/>
    </row>
    <row r="179" spans="1:36">
      <c r="A179" s="938" t="s">
        <v>467</v>
      </c>
      <c r="F179" s="1026">
        <f t="shared" ref="F179:AJ179" si="116">SUM(F125)</f>
        <v>0</v>
      </c>
      <c r="G179" s="1026">
        <f t="shared" si="116"/>
        <v>0</v>
      </c>
      <c r="H179" s="1026">
        <f t="shared" si="116"/>
        <v>0</v>
      </c>
      <c r="I179" s="1026">
        <f t="shared" si="116"/>
        <v>0</v>
      </c>
      <c r="J179" s="1026">
        <f t="shared" si="116"/>
        <v>0</v>
      </c>
      <c r="K179" s="1026">
        <f t="shared" si="116"/>
        <v>0</v>
      </c>
      <c r="L179" s="1026">
        <f t="shared" si="116"/>
        <v>0</v>
      </c>
      <c r="M179" s="1026">
        <f t="shared" si="116"/>
        <v>0</v>
      </c>
      <c r="N179" s="1026">
        <f t="shared" si="116"/>
        <v>0</v>
      </c>
      <c r="O179" s="1026">
        <f t="shared" si="116"/>
        <v>0</v>
      </c>
      <c r="P179" s="1026">
        <f t="shared" si="116"/>
        <v>0</v>
      </c>
      <c r="Q179" s="1026">
        <f t="shared" si="116"/>
        <v>0</v>
      </c>
      <c r="R179" s="1026">
        <f t="shared" si="116"/>
        <v>0</v>
      </c>
      <c r="S179" s="1026">
        <f t="shared" si="116"/>
        <v>0</v>
      </c>
      <c r="T179" s="1026">
        <f t="shared" si="116"/>
        <v>0</v>
      </c>
      <c r="U179" s="1026">
        <f t="shared" si="116"/>
        <v>0</v>
      </c>
      <c r="V179" s="1026">
        <f t="shared" si="116"/>
        <v>0</v>
      </c>
      <c r="W179" s="1026">
        <f t="shared" si="116"/>
        <v>0</v>
      </c>
      <c r="X179" s="1026">
        <f t="shared" si="116"/>
        <v>0</v>
      </c>
      <c r="Y179" s="1026">
        <f t="shared" si="116"/>
        <v>0</v>
      </c>
      <c r="Z179" s="1026">
        <f t="shared" si="116"/>
        <v>0</v>
      </c>
      <c r="AA179" s="1026">
        <f t="shared" si="116"/>
        <v>0</v>
      </c>
      <c r="AB179" s="1026">
        <f t="shared" si="116"/>
        <v>0</v>
      </c>
      <c r="AC179" s="1026">
        <f t="shared" si="116"/>
        <v>0</v>
      </c>
      <c r="AD179" s="1026">
        <f t="shared" si="116"/>
        <v>0</v>
      </c>
      <c r="AE179" s="1026">
        <f t="shared" si="116"/>
        <v>0</v>
      </c>
      <c r="AF179" s="1026">
        <f t="shared" si="116"/>
        <v>0</v>
      </c>
      <c r="AG179" s="1026">
        <f t="shared" si="116"/>
        <v>0</v>
      </c>
      <c r="AH179" s="1026">
        <f t="shared" si="116"/>
        <v>0</v>
      </c>
      <c r="AI179" s="1026">
        <f t="shared" si="116"/>
        <v>0</v>
      </c>
      <c r="AJ179" s="1026">
        <f t="shared" si="116"/>
        <v>0</v>
      </c>
    </row>
    <row r="180" spans="1:36">
      <c r="A180" s="938" t="s">
        <v>468</v>
      </c>
      <c r="F180" s="1026">
        <f>F179</f>
        <v>0</v>
      </c>
      <c r="G180" s="1026">
        <f t="shared" ref="G180:AJ180" si="117">G179</f>
        <v>0</v>
      </c>
      <c r="H180" s="1026">
        <f t="shared" si="117"/>
        <v>0</v>
      </c>
      <c r="I180" s="1026">
        <f t="shared" si="117"/>
        <v>0</v>
      </c>
      <c r="J180" s="1026">
        <f t="shared" si="117"/>
        <v>0</v>
      </c>
      <c r="K180" s="1026">
        <f t="shared" si="117"/>
        <v>0</v>
      </c>
      <c r="L180" s="1026">
        <f t="shared" si="117"/>
        <v>0</v>
      </c>
      <c r="M180" s="1026">
        <f t="shared" si="117"/>
        <v>0</v>
      </c>
      <c r="N180" s="1026">
        <f t="shared" si="117"/>
        <v>0</v>
      </c>
      <c r="O180" s="1026">
        <f t="shared" si="117"/>
        <v>0</v>
      </c>
      <c r="P180" s="1026">
        <f t="shared" si="117"/>
        <v>0</v>
      </c>
      <c r="Q180" s="1026">
        <f t="shared" si="117"/>
        <v>0</v>
      </c>
      <c r="R180" s="1026">
        <f t="shared" si="117"/>
        <v>0</v>
      </c>
      <c r="S180" s="1026">
        <f t="shared" si="117"/>
        <v>0</v>
      </c>
      <c r="T180" s="1026">
        <f t="shared" si="117"/>
        <v>0</v>
      </c>
      <c r="U180" s="1026">
        <f t="shared" si="117"/>
        <v>0</v>
      </c>
      <c r="V180" s="1026">
        <f t="shared" si="117"/>
        <v>0</v>
      </c>
      <c r="W180" s="1026">
        <f t="shared" si="117"/>
        <v>0</v>
      </c>
      <c r="X180" s="1026">
        <f t="shared" si="117"/>
        <v>0</v>
      </c>
      <c r="Y180" s="1026">
        <f t="shared" si="117"/>
        <v>0</v>
      </c>
      <c r="Z180" s="1026">
        <f t="shared" si="117"/>
        <v>0</v>
      </c>
      <c r="AA180" s="1026">
        <f t="shared" si="117"/>
        <v>0</v>
      </c>
      <c r="AB180" s="1026">
        <f t="shared" si="117"/>
        <v>0</v>
      </c>
      <c r="AC180" s="1026">
        <f t="shared" si="117"/>
        <v>0</v>
      </c>
      <c r="AD180" s="1026">
        <f t="shared" si="117"/>
        <v>0</v>
      </c>
      <c r="AE180" s="1026">
        <f t="shared" si="117"/>
        <v>0</v>
      </c>
      <c r="AF180" s="1026">
        <f t="shared" si="117"/>
        <v>0</v>
      </c>
      <c r="AG180" s="1026">
        <f t="shared" si="117"/>
        <v>0</v>
      </c>
      <c r="AH180" s="1026">
        <f t="shared" si="117"/>
        <v>0</v>
      </c>
      <c r="AI180" s="1026">
        <f t="shared" si="117"/>
        <v>0</v>
      </c>
      <c r="AJ180" s="1026">
        <f t="shared" si="117"/>
        <v>0</v>
      </c>
    </row>
    <row r="181" spans="1:36">
      <c r="A181" s="938" t="s">
        <v>469</v>
      </c>
      <c r="F181" s="1026">
        <f>F180*'Cons Int &amp; Neg Arb'!$E$31/12</f>
        <v>0</v>
      </c>
      <c r="G181" s="1026">
        <f>G180*'Cons Int &amp; Neg Arb'!$E$31/12</f>
        <v>0</v>
      </c>
      <c r="H181" s="1026">
        <f>H180*'Cons Int &amp; Neg Arb'!$E$31/12</f>
        <v>0</v>
      </c>
      <c r="I181" s="1026">
        <f>I180*'Cons Int &amp; Neg Arb'!$E$31/12</f>
        <v>0</v>
      </c>
      <c r="J181" s="1026">
        <f>J180*'Cons Int &amp; Neg Arb'!$E$31/12</f>
        <v>0</v>
      </c>
      <c r="K181" s="1026">
        <f>K180*'Cons Int &amp; Neg Arb'!$E$31/12</f>
        <v>0</v>
      </c>
      <c r="L181" s="1026">
        <f>L180*'Cons Int &amp; Neg Arb'!$E$31/12</f>
        <v>0</v>
      </c>
      <c r="M181" s="1026">
        <f>M180*'Cons Int &amp; Neg Arb'!$E$31/12</f>
        <v>0</v>
      </c>
      <c r="N181" s="1026">
        <f>N180*'Cons Int &amp; Neg Arb'!$E$31/12</f>
        <v>0</v>
      </c>
      <c r="O181" s="1026">
        <f>O180*'Cons Int &amp; Neg Arb'!$E$31/12</f>
        <v>0</v>
      </c>
      <c r="P181" s="1026">
        <f>P180*'Cons Int &amp; Neg Arb'!$E$31/12</f>
        <v>0</v>
      </c>
      <c r="Q181" s="1026">
        <f>Q180*'Cons Int &amp; Neg Arb'!$E$31/12</f>
        <v>0</v>
      </c>
      <c r="R181" s="1026">
        <f>R180*'Cons Int &amp; Neg Arb'!$E$31/12</f>
        <v>0</v>
      </c>
      <c r="S181" s="1026">
        <f>S180*'Cons Int &amp; Neg Arb'!$E$31/12</f>
        <v>0</v>
      </c>
      <c r="T181" s="1026">
        <f>T180*'Cons Int &amp; Neg Arb'!$E$31/12</f>
        <v>0</v>
      </c>
      <c r="U181" s="1026">
        <f>U180*'Cons Int &amp; Neg Arb'!$E$31/12</f>
        <v>0</v>
      </c>
      <c r="V181" s="1026">
        <f>V180*'Cons Int &amp; Neg Arb'!$E$31/12</f>
        <v>0</v>
      </c>
      <c r="W181" s="1026">
        <f>W180*'Cons Int &amp; Neg Arb'!$E$31/12</f>
        <v>0</v>
      </c>
      <c r="X181" s="1026">
        <f>X180*'Cons Int &amp; Neg Arb'!$E$31/12</f>
        <v>0</v>
      </c>
      <c r="Y181" s="1026">
        <f>Y180*'Cons Int &amp; Neg Arb'!$E$31/12</f>
        <v>0</v>
      </c>
      <c r="Z181" s="1026">
        <f>Z180*'Cons Int &amp; Neg Arb'!$E$31/12</f>
        <v>0</v>
      </c>
      <c r="AA181" s="1026">
        <f>AA180*'Cons Int &amp; Neg Arb'!$E$31/12</f>
        <v>0</v>
      </c>
      <c r="AB181" s="1026">
        <f>AB180*'Cons Int &amp; Neg Arb'!$E$31/12</f>
        <v>0</v>
      </c>
      <c r="AC181" s="1026">
        <f>AC180*'Cons Int &amp; Neg Arb'!$E$31/12</f>
        <v>0</v>
      </c>
      <c r="AD181" s="1026">
        <f>AD180*'Cons Int &amp; Neg Arb'!$E$31/12</f>
        <v>0</v>
      </c>
      <c r="AE181" s="1026">
        <f>AE180*'Cons Int &amp; Neg Arb'!$E$31/12</f>
        <v>0</v>
      </c>
      <c r="AF181" s="1026">
        <f>AF180*'Cons Int &amp; Neg Arb'!$E$31/12</f>
        <v>0</v>
      </c>
      <c r="AG181" s="1026">
        <f>AG180*'Cons Int &amp; Neg Arb'!$E$31/12</f>
        <v>0</v>
      </c>
      <c r="AH181" s="1026">
        <f>AH180*'Cons Int &amp; Neg Arb'!$E$31/12</f>
        <v>0</v>
      </c>
      <c r="AI181" s="1026">
        <f>AI180*'Cons Int &amp; Neg Arb'!$E$31/12</f>
        <v>0</v>
      </c>
      <c r="AJ181" s="1026">
        <f>AJ180*'Cons Int &amp; Neg Arb'!$E$31/12</f>
        <v>0</v>
      </c>
    </row>
    <row r="182" spans="1:36">
      <c r="G182" s="1026"/>
      <c r="H182" s="1026"/>
      <c r="I182" s="1026"/>
      <c r="J182" s="1026"/>
      <c r="K182" s="1026"/>
      <c r="L182" s="1026"/>
      <c r="M182" s="1026"/>
      <c r="N182" s="1026"/>
      <c r="O182" s="1026"/>
      <c r="P182" s="1026"/>
      <c r="Q182" s="1026"/>
      <c r="R182" s="1026"/>
      <c r="S182" s="1026"/>
      <c r="T182" s="1026"/>
      <c r="U182" s="1026"/>
      <c r="V182" s="1026"/>
      <c r="W182" s="1026"/>
      <c r="X182" s="1026"/>
      <c r="Y182" s="1026"/>
      <c r="Z182" s="1026"/>
      <c r="AA182" s="1026"/>
      <c r="AB182" s="1026"/>
      <c r="AC182" s="1026"/>
      <c r="AD182" s="1026"/>
      <c r="AE182" s="1026"/>
      <c r="AF182" s="1026"/>
      <c r="AG182" s="1026"/>
      <c r="AH182" s="1026"/>
      <c r="AI182" s="1026"/>
      <c r="AJ182" s="1026"/>
    </row>
    <row r="183" spans="1:36">
      <c r="A183" s="998" t="s">
        <v>582</v>
      </c>
      <c r="F183" s="1026">
        <f>F174+F179</f>
        <v>0</v>
      </c>
      <c r="G183" s="1026">
        <f t="shared" ref="G183:AJ183" si="118">G174+G179</f>
        <v>460000</v>
      </c>
      <c r="H183" s="1026">
        <f t="shared" si="118"/>
        <v>575000</v>
      </c>
      <c r="I183" s="1026">
        <f t="shared" si="118"/>
        <v>805000</v>
      </c>
      <c r="J183" s="1026">
        <f t="shared" si="118"/>
        <v>460000</v>
      </c>
      <c r="K183" s="1026">
        <f t="shared" si="118"/>
        <v>202941.17647058825</v>
      </c>
      <c r="L183" s="1026">
        <f t="shared" si="118"/>
        <v>405882.3529411765</v>
      </c>
      <c r="M183" s="1026">
        <f t="shared" si="118"/>
        <v>608823.5294117647</v>
      </c>
      <c r="N183" s="1026">
        <f t="shared" si="118"/>
        <v>608823.5294117647</v>
      </c>
      <c r="O183" s="1026">
        <f t="shared" si="118"/>
        <v>202941.17647058825</v>
      </c>
      <c r="P183" s="1026">
        <f t="shared" si="118"/>
        <v>270588.23529411765</v>
      </c>
      <c r="Q183" s="1026">
        <f t="shared" si="118"/>
        <v>811764.70588235301</v>
      </c>
      <c r="R183" s="1026">
        <f t="shared" si="118"/>
        <v>1082352.9411764706</v>
      </c>
      <c r="S183" s="1026">
        <f t="shared" si="118"/>
        <v>541176.4705882353</v>
      </c>
      <c r="T183" s="1026">
        <f t="shared" si="118"/>
        <v>324705.88235294115</v>
      </c>
      <c r="U183" s="1026">
        <f t="shared" si="118"/>
        <v>541176.4705882353</v>
      </c>
      <c r="V183" s="1026">
        <f t="shared" si="118"/>
        <v>865882.3529411765</v>
      </c>
      <c r="W183" s="1026">
        <f t="shared" si="118"/>
        <v>432941.17647058825</v>
      </c>
      <c r="X183" s="1026">
        <f t="shared" si="118"/>
        <v>360000</v>
      </c>
      <c r="Y183" s="1026">
        <f t="shared" si="118"/>
        <v>360000</v>
      </c>
      <c r="Z183" s="1026">
        <f t="shared" si="118"/>
        <v>360000</v>
      </c>
      <c r="AA183" s="1026">
        <f t="shared" si="118"/>
        <v>360000</v>
      </c>
      <c r="AB183" s="1026">
        <f t="shared" si="118"/>
        <v>360000</v>
      </c>
      <c r="AC183" s="1026">
        <f t="shared" si="118"/>
        <v>0</v>
      </c>
      <c r="AD183" s="1026">
        <f t="shared" si="118"/>
        <v>0</v>
      </c>
      <c r="AE183" s="1026">
        <f t="shared" si="118"/>
        <v>0</v>
      </c>
      <c r="AF183" s="1026">
        <f t="shared" si="118"/>
        <v>0</v>
      </c>
      <c r="AG183" s="1026">
        <f t="shared" si="118"/>
        <v>0</v>
      </c>
      <c r="AH183" s="1026">
        <f t="shared" si="118"/>
        <v>0</v>
      </c>
      <c r="AI183" s="1026">
        <f t="shared" si="118"/>
        <v>0</v>
      </c>
      <c r="AJ183" s="1026">
        <f t="shared" si="118"/>
        <v>0</v>
      </c>
    </row>
    <row r="185" spans="1:36">
      <c r="A185" s="976" t="s">
        <v>585</v>
      </c>
    </row>
    <row r="186" spans="1:36">
      <c r="A186" s="938" t="s">
        <v>467</v>
      </c>
      <c r="F186" s="1026">
        <f t="shared" ref="F186:AJ186" ca="1" si="119">F120</f>
        <v>3772297.1899784068</v>
      </c>
      <c r="G186" s="1026">
        <f t="shared" ca="1" si="119"/>
        <v>541267.83761497249</v>
      </c>
      <c r="H186" s="1026">
        <f t="shared" ca="1" si="119"/>
        <v>563304.22605687613</v>
      </c>
      <c r="I186" s="1026">
        <f t="shared" ca="1" si="119"/>
        <v>763363.4822328462</v>
      </c>
      <c r="J186" s="1026">
        <f t="shared" ca="1" si="119"/>
        <v>736290.19554762798</v>
      </c>
      <c r="K186" s="1026">
        <f t="shared" ca="1" si="119"/>
        <v>250282.24460603559</v>
      </c>
      <c r="L186" s="1026">
        <f t="shared" ca="1" si="119"/>
        <v>526806.36081531504</v>
      </c>
      <c r="M186" s="1026">
        <f t="shared" ca="1" si="119"/>
        <v>883350.71182044921</v>
      </c>
      <c r="N186" s="1026">
        <f t="shared" ca="1" si="119"/>
        <v>874494.43864814984</v>
      </c>
      <c r="O186" s="1026">
        <f t="shared" ca="1" si="119"/>
        <v>262980.71220390149</v>
      </c>
      <c r="P186" s="1026">
        <f t="shared" ca="1" si="119"/>
        <v>354001.80797241395</v>
      </c>
      <c r="Q186" s="1026">
        <f t="shared" ca="1" si="119"/>
        <v>788891.93859892932</v>
      </c>
      <c r="R186" s="1026">
        <f t="shared" ca="1" si="119"/>
        <v>1559892.0919231186</v>
      </c>
      <c r="S186" s="1026">
        <f t="shared" ca="1" si="119"/>
        <v>566128.50481081079</v>
      </c>
      <c r="T186" s="1026">
        <f t="shared" ca="1" si="119"/>
        <v>590041.02673593594</v>
      </c>
      <c r="U186" s="1026">
        <f t="shared" ca="1" si="119"/>
        <v>653465.45054949995</v>
      </c>
      <c r="V186" s="1026">
        <f t="shared" ca="1" si="119"/>
        <v>852809.37773614586</v>
      </c>
      <c r="W186" s="1026">
        <f t="shared" ca="1" si="119"/>
        <v>614390.98170403019</v>
      </c>
      <c r="X186" s="1026">
        <f t="shared" ca="1" si="119"/>
        <v>476163.42501906049</v>
      </c>
      <c r="Y186" s="1026">
        <f t="shared" ca="1" si="119"/>
        <v>534733.34729947499</v>
      </c>
      <c r="Z186" s="1026">
        <f t="shared" ca="1" si="119"/>
        <v>478301.06841788284</v>
      </c>
      <c r="AA186" s="1026">
        <f t="shared" ca="1" si="119"/>
        <v>481705.84265361872</v>
      </c>
      <c r="AB186" s="1026">
        <f t="shared" ca="1" si="119"/>
        <v>483721.34827141627</v>
      </c>
      <c r="AC186" s="1026">
        <f t="shared" ca="1" si="119"/>
        <v>643280.4334106273</v>
      </c>
      <c r="AD186" s="1026">
        <f t="shared" ca="1" si="119"/>
        <v>465183.31388514867</v>
      </c>
      <c r="AE186" s="1026">
        <f t="shared" ca="1" si="119"/>
        <v>85073.587165002886</v>
      </c>
      <c r="AF186" s="1026">
        <f t="shared" ca="1" si="119"/>
        <v>85429.543596655625</v>
      </c>
      <c r="AG186" s="1026">
        <f t="shared" ca="1" si="119"/>
        <v>85319.151207348725</v>
      </c>
      <c r="AH186" s="1026">
        <f t="shared" ca="1" si="119"/>
        <v>84740.458746785342</v>
      </c>
      <c r="AI186" s="1026">
        <f t="shared" ca="1" si="119"/>
        <v>85095.021335684025</v>
      </c>
      <c r="AJ186" s="1026">
        <f t="shared" ca="1" si="119"/>
        <v>457194.4415094094</v>
      </c>
    </row>
    <row r="187" spans="1:36">
      <c r="A187" s="938" t="s">
        <v>468</v>
      </c>
      <c r="F187" s="1026">
        <f ca="1">F186</f>
        <v>3772297.1899784068</v>
      </c>
      <c r="G187" s="1026">
        <f ca="1">G186+F187</f>
        <v>4313565.0275933789</v>
      </c>
      <c r="H187" s="1026">
        <f t="shared" ref="H187:AJ187" ca="1" si="120">H186+G187</f>
        <v>4876869.2536502555</v>
      </c>
      <c r="I187" s="1026">
        <f t="shared" ca="1" si="120"/>
        <v>5640232.7358831018</v>
      </c>
      <c r="J187" s="1026">
        <f t="shared" ca="1" si="120"/>
        <v>6376522.93143073</v>
      </c>
      <c r="K187" s="1026">
        <f t="shared" ca="1" si="120"/>
        <v>6626805.1760367658</v>
      </c>
      <c r="L187" s="1026">
        <f t="shared" ca="1" si="120"/>
        <v>7153611.5368520804</v>
      </c>
      <c r="M187" s="1026">
        <f t="shared" ca="1" si="120"/>
        <v>8036962.2486725301</v>
      </c>
      <c r="N187" s="1026">
        <f t="shared" ca="1" si="120"/>
        <v>8911456.6873206794</v>
      </c>
      <c r="O187" s="1026">
        <f t="shared" ca="1" si="120"/>
        <v>9174437.3995245807</v>
      </c>
      <c r="P187" s="1026">
        <f t="shared" ca="1" si="120"/>
        <v>9528439.2074969951</v>
      </c>
      <c r="Q187" s="1026">
        <f t="shared" ca="1" si="120"/>
        <v>10317331.146095924</v>
      </c>
      <c r="R187" s="1026">
        <f t="shared" ca="1" si="120"/>
        <v>11877223.238019042</v>
      </c>
      <c r="S187" s="1026">
        <f t="shared" ca="1" si="120"/>
        <v>12443351.742829852</v>
      </c>
      <c r="T187" s="1026">
        <f t="shared" ca="1" si="120"/>
        <v>13033392.769565787</v>
      </c>
      <c r="U187" s="1026">
        <f t="shared" ca="1" si="120"/>
        <v>13686858.220115287</v>
      </c>
      <c r="V187" s="1026">
        <f t="shared" ca="1" si="120"/>
        <v>14539667.597851433</v>
      </c>
      <c r="W187" s="1026">
        <f t="shared" ca="1" si="120"/>
        <v>15154058.579555463</v>
      </c>
      <c r="X187" s="1026">
        <f t="shared" ca="1" si="120"/>
        <v>15630222.004574524</v>
      </c>
      <c r="Y187" s="1026">
        <f t="shared" ca="1" si="120"/>
        <v>16164955.351873999</v>
      </c>
      <c r="Z187" s="1026">
        <f t="shared" ca="1" si="120"/>
        <v>16643256.420291882</v>
      </c>
      <c r="AA187" s="1026">
        <f t="shared" ca="1" si="120"/>
        <v>17124962.262945499</v>
      </c>
      <c r="AB187" s="1026">
        <f t="shared" ca="1" si="120"/>
        <v>17608683.611216914</v>
      </c>
      <c r="AC187" s="1026">
        <f t="shared" ca="1" si="120"/>
        <v>18251964.04462754</v>
      </c>
      <c r="AD187" s="1026">
        <f t="shared" ca="1" si="120"/>
        <v>18717147.358512688</v>
      </c>
      <c r="AE187" s="1026">
        <f t="shared" ca="1" si="120"/>
        <v>18802220.94567769</v>
      </c>
      <c r="AF187" s="1026">
        <f t="shared" ca="1" si="120"/>
        <v>18887650.489274345</v>
      </c>
      <c r="AG187" s="1026">
        <f t="shared" ca="1" si="120"/>
        <v>18972969.640481696</v>
      </c>
      <c r="AH187" s="1026">
        <f t="shared" ca="1" si="120"/>
        <v>19057710.099228483</v>
      </c>
      <c r="AI187" s="1026">
        <f t="shared" ca="1" si="120"/>
        <v>19142805.120564166</v>
      </c>
      <c r="AJ187" s="1026">
        <f t="shared" ca="1" si="120"/>
        <v>19599999.562073577</v>
      </c>
    </row>
    <row r="188" spans="1:36">
      <c r="A188" s="938" t="s">
        <v>470</v>
      </c>
      <c r="F188" s="1026">
        <f ca="1">F187*'Cons Int &amp; Neg Arb'!$E$25/12</f>
        <v>15717.904958243364</v>
      </c>
      <c r="G188" s="1026">
        <f ca="1">G187*'Cons Int &amp; Neg Arb'!$E$25/12</f>
        <v>17973.187614972412</v>
      </c>
      <c r="H188" s="1026">
        <f ca="1">H187*'Cons Int &amp; Neg Arb'!$E$25/12</f>
        <v>20320.288556876065</v>
      </c>
      <c r="I188" s="1026">
        <f ca="1">I187*'Cons Int &amp; Neg Arb'!$E$25/12</f>
        <v>23500.969732846261</v>
      </c>
      <c r="J188" s="1026">
        <f ca="1">J187*'Cons Int &amp; Neg Arb'!$E$25/12</f>
        <v>26568.845547628047</v>
      </c>
      <c r="K188" s="1026">
        <f ca="1">K187*'Cons Int &amp; Neg Arb'!$E$25/12</f>
        <v>27611.688233486526</v>
      </c>
      <c r="L188" s="1026">
        <f ca="1">L187*'Cons Int &amp; Neg Arb'!$E$25/12</f>
        <v>29806.71473688367</v>
      </c>
      <c r="M188" s="1026">
        <f ca="1">M187*'Cons Int &amp; Neg Arb'!$E$25/12</f>
        <v>33487.342702802212</v>
      </c>
      <c r="N188" s="1026">
        <f ca="1">N187*'Cons Int &amp; Neg Arb'!$E$25/12</f>
        <v>37131.069530502835</v>
      </c>
      <c r="O188" s="1026">
        <f ca="1">O187*'Cons Int &amp; Neg Arb'!$E$25/12</f>
        <v>38226.822498019086</v>
      </c>
      <c r="P188" s="1026">
        <f ca="1">P187*'Cons Int &amp; Neg Arb'!$E$25/12</f>
        <v>39701.830031237485</v>
      </c>
      <c r="Q188" s="1026">
        <f ca="1">Q187*'Cons Int &amp; Neg Arb'!$E$25/12</f>
        <v>42988.879775399684</v>
      </c>
      <c r="R188" s="1026">
        <f ca="1">R187*'Cons Int &amp; Neg Arb'!$E$25/12</f>
        <v>49488.430158412673</v>
      </c>
      <c r="S188" s="1026">
        <f ca="1">S187*'Cons Int &amp; Neg Arb'!$E$25/12</f>
        <v>51847.29892845772</v>
      </c>
      <c r="T188" s="1026">
        <f ca="1">T187*'Cons Int &amp; Neg Arb'!$E$25/12</f>
        <v>54305.803206524113</v>
      </c>
      <c r="U188" s="1026">
        <f ca="1">U187*'Cons Int &amp; Neg Arb'!$E$25/12</f>
        <v>57028.575917147034</v>
      </c>
      <c r="V188" s="1026">
        <f ca="1">V187*'Cons Int &amp; Neg Arb'!$E$25/12</f>
        <v>60581.948324380974</v>
      </c>
      <c r="W188" s="1026">
        <f ca="1">W187*'Cons Int &amp; Neg Arb'!$E$25/12</f>
        <v>63141.910748147762</v>
      </c>
      <c r="X188" s="1026">
        <f ca="1">X187*'Cons Int &amp; Neg Arb'!$E$25/12</f>
        <v>65125.925019060523</v>
      </c>
      <c r="Y188" s="1026">
        <f ca="1">Y187*'Cons Int &amp; Neg Arb'!$E$25/12</f>
        <v>67353.980632808336</v>
      </c>
      <c r="Z188" s="1026">
        <f ca="1">Z187*'Cons Int &amp; Neg Arb'!$E$25/12</f>
        <v>69346.901751216181</v>
      </c>
      <c r="AA188" s="1026">
        <f ca="1">AA187*'Cons Int &amp; Neg Arb'!$E$25/12</f>
        <v>71354.009428939593</v>
      </c>
      <c r="AB188" s="1026">
        <f ca="1">AB187*'Cons Int &amp; Neg Arb'!$E$25/12</f>
        <v>73369.515046737142</v>
      </c>
      <c r="AC188" s="1026">
        <f ca="1">AC187*'Cons Int &amp; Neg Arb'!$E$25/12</f>
        <v>76049.850185948089</v>
      </c>
      <c r="AD188" s="1026">
        <f ca="1">AD187*'Cons Int &amp; Neg Arb'!$E$25/12</f>
        <v>77988.113993802879</v>
      </c>
      <c r="AE188" s="1026">
        <f ca="1">AE187*'Cons Int &amp; Neg Arb'!$E$25/12</f>
        <v>78342.587273657045</v>
      </c>
      <c r="AF188" s="1026">
        <f ca="1">AF187*'Cons Int &amp; Neg Arb'!$E$25/12</f>
        <v>78698.543705309785</v>
      </c>
      <c r="AG188" s="1026">
        <f ca="1">AG187*'Cons Int &amp; Neg Arb'!$E$25/12</f>
        <v>79054.040168673731</v>
      </c>
      <c r="AH188" s="1026">
        <f ca="1">AH187*'Cons Int &amp; Neg Arb'!$E$25/12</f>
        <v>79407.125413452013</v>
      </c>
      <c r="AI188" s="1026">
        <f ca="1">AI187*'Cons Int &amp; Neg Arb'!$E$25/12</f>
        <v>79761.688002350696</v>
      </c>
      <c r="AJ188" s="1026">
        <f ca="1">AJ187*'Cons Int &amp; Neg Arb'!$E$25/12</f>
        <v>81666.664841973237</v>
      </c>
    </row>
    <row r="190" spans="1:36">
      <c r="A190" s="740" t="s">
        <v>471</v>
      </c>
    </row>
    <row r="191" spans="1:36">
      <c r="A191" s="738" t="s">
        <v>472</v>
      </c>
      <c r="F191" s="1026">
        <f ca="1">F117*('Sources and Use'!$C$60/'Sources and Use'!$C$44)</f>
        <v>6236074.2383047501</v>
      </c>
      <c r="G191" s="1026">
        <f ca="1">G117*('Sources and Use'!$C$60/'Sources and Use'!$C$44)</f>
        <v>928367.57648567157</v>
      </c>
      <c r="H191" s="1026">
        <f ca="1">H117*('Sources and Use'!$C$60/'Sources and Use'!$C$44)</f>
        <v>1046753.3761696077</v>
      </c>
      <c r="I191" s="1026">
        <f ca="1">I117*('Sources and Use'!$C$60/'Sources and Use'!$C$44)</f>
        <v>1424430.7930678884</v>
      </c>
      <c r="J191" s="1026">
        <f ca="1">J117*('Sources and Use'!$C$60/'Sources and Use'!$C$44)</f>
        <v>1098551.3993233843</v>
      </c>
      <c r="K191" s="1026">
        <f ca="1">K117*('Sources and Use'!$C$60/'Sources and Use'!$C$44)</f>
        <v>417313.77882176108</v>
      </c>
      <c r="L191" s="1026">
        <f ca="1">L117*('Sources and Use'!$C$60/'Sources and Use'!$C$44)</f>
        <v>838020.29893122439</v>
      </c>
      <c r="M191" s="1026">
        <f ca="1">M117*('Sources and Use'!$C$60/'Sources and Use'!$C$44)</f>
        <v>1329039.3145709799</v>
      </c>
      <c r="N191" s="1026">
        <f ca="1">N117*('Sources and Use'!$C$60/'Sources and Use'!$C$44)</f>
        <v>1321718.7240118843</v>
      </c>
      <c r="O191" s="1026">
        <f ca="1">O117*('Sources and Use'!$C$60/'Sources and Use'!$C$44)</f>
        <v>429809.07956660725</v>
      </c>
      <c r="P191" s="1026">
        <f ca="1">P117*('Sources and Use'!$C$60/'Sources and Use'!$C$44)</f>
        <v>569105.6192417799</v>
      </c>
      <c r="Q191" s="1026">
        <f ca="1">Q117*('Sources and Use'!$C$60/'Sources and Use'!$C$44)</f>
        <v>1425544.0462671467</v>
      </c>
      <c r="R191" s="1026">
        <f ca="1">R117*('Sources and Use'!$C$60/'Sources and Use'!$C$44)</f>
        <v>2339631.7125184359</v>
      </c>
      <c r="S191" s="1026">
        <f ca="1">S117*('Sources and Use'!$C$60/'Sources and Use'!$C$44)</f>
        <v>994179.472253563</v>
      </c>
      <c r="T191" s="1026">
        <f ca="1">T117*('Sources and Use'!$C$60/'Sources and Use'!$C$44)</f>
        <v>825540.8122504279</v>
      </c>
      <c r="U191" s="1026">
        <f ca="1">U117*('Sources and Use'!$C$60/'Sources and Use'!$C$44)</f>
        <v>1071356.818240463</v>
      </c>
      <c r="V191" s="1026">
        <f ca="1">V117*('Sources and Use'!$C$60/'Sources and Use'!$C$44)</f>
        <v>1531492.5352368413</v>
      </c>
      <c r="W191" s="1026">
        <f ca="1">W117*('Sources and Use'!$C$60/'Sources and Use'!$C$44)</f>
        <v>943168.17722313118</v>
      </c>
      <c r="X191" s="1026">
        <f ca="1">X117*('Sources and Use'!$C$60/'Sources and Use'!$C$44)</f>
        <v>758243.91476706183</v>
      </c>
      <c r="Y191" s="1026">
        <f ca="1">Y117*('Sources and Use'!$C$60/'Sources and Use'!$C$44)</f>
        <v>809862.87689993414</v>
      </c>
      <c r="Z191" s="1026">
        <f ca="1">Z117*('Sources and Use'!$C$60/'Sources and Use'!$C$44)</f>
        <v>760644.36486896616</v>
      </c>
      <c r="AA191" s="1026">
        <f ca="1">AA117*('Sources and Use'!$C$60/'Sources and Use'!$C$44)</f>
        <v>764640.17732360703</v>
      </c>
      <c r="AB191" s="1026">
        <f ca="1">AB117*('Sources and Use'!$C$60/'Sources and Use'!$C$44)</f>
        <v>766670.48400949361</v>
      </c>
      <c r="AC191" s="1026">
        <f ca="1">AC117*('Sources and Use'!$C$60/'Sources and Use'!$C$44)</f>
        <v>590917.71258924704</v>
      </c>
      <c r="AD191" s="1026">
        <f ca="1">AD117*('Sources and Use'!$C$60/'Sources and Use'!$C$44)</f>
        <v>439140.82361129788</v>
      </c>
      <c r="AE191" s="1026">
        <f ca="1">AE117*('Sources and Use'!$C$60/'Sources and Use'!$C$44)</f>
        <v>83380.111123890674</v>
      </c>
      <c r="AF191" s="1026">
        <f ca="1">AF117*('Sources and Use'!$C$60/'Sources and Use'!$C$44)</f>
        <v>83692.224693175071</v>
      </c>
      <c r="AG191" s="1026">
        <f ca="1">AG117*('Sources and Use'!$C$60/'Sources and Use'!$C$44)</f>
        <v>83346.311834280816</v>
      </c>
      <c r="AH191" s="1026">
        <f ca="1">AH117*('Sources and Use'!$C$60/'Sources and Use'!$C$44)</f>
        <v>82340.661630813178</v>
      </c>
      <c r="AI191" s="1026">
        <f ca="1">AI117*('Sources and Use'!$C$60/'Sources and Use'!$C$44)</f>
        <v>82651.55303581481</v>
      </c>
      <c r="AJ191" s="1026">
        <f ca="1">AJ117*('Sources and Use'!$C$60/'Sources and Use'!$C$44)</f>
        <v>6132494.2601181753</v>
      </c>
    </row>
    <row r="192" spans="1:36">
      <c r="A192" s="738" t="s">
        <v>473</v>
      </c>
      <c r="F192" s="1026">
        <f ca="1">F191</f>
        <v>6236074.2383047501</v>
      </c>
      <c r="G192" s="1026">
        <f ca="1">F192+G191</f>
        <v>7164441.8147904221</v>
      </c>
      <c r="H192" s="1026">
        <f t="shared" ref="H192:AJ192" ca="1" si="121">G192+H191</f>
        <v>8211195.1909600301</v>
      </c>
      <c r="I192" s="1026">
        <f t="shared" ca="1" si="121"/>
        <v>9635625.9840279184</v>
      </c>
      <c r="J192" s="1026">
        <f t="shared" ca="1" si="121"/>
        <v>10734177.383351304</v>
      </c>
      <c r="K192" s="1026">
        <f t="shared" ca="1" si="121"/>
        <v>11151491.162173064</v>
      </c>
      <c r="L192" s="1026">
        <f t="shared" ca="1" si="121"/>
        <v>11989511.461104289</v>
      </c>
      <c r="M192" s="1026">
        <f t="shared" ca="1" si="121"/>
        <v>13318550.775675269</v>
      </c>
      <c r="N192" s="1026">
        <f t="shared" ca="1" si="121"/>
        <v>14640269.499687154</v>
      </c>
      <c r="O192" s="1026">
        <f t="shared" ca="1" si="121"/>
        <v>15070078.579253761</v>
      </c>
      <c r="P192" s="1026">
        <f t="shared" ca="1" si="121"/>
        <v>15639184.198495541</v>
      </c>
      <c r="Q192" s="1026">
        <f t="shared" ca="1" si="121"/>
        <v>17064728.244762689</v>
      </c>
      <c r="R192" s="1026">
        <f t="shared" ca="1" si="121"/>
        <v>19404359.957281124</v>
      </c>
      <c r="S192" s="1026">
        <f t="shared" ca="1" si="121"/>
        <v>20398539.429534689</v>
      </c>
      <c r="T192" s="1026">
        <f t="shared" ca="1" si="121"/>
        <v>21224080.241785116</v>
      </c>
      <c r="U192" s="1026">
        <f t="shared" ca="1" si="121"/>
        <v>22295437.06002558</v>
      </c>
      <c r="V192" s="1026">
        <f t="shared" ca="1" si="121"/>
        <v>23826929.595262423</v>
      </c>
      <c r="W192" s="1026">
        <f t="shared" ca="1" si="121"/>
        <v>24770097.772485554</v>
      </c>
      <c r="X192" s="1026">
        <f t="shared" ca="1" si="121"/>
        <v>25528341.687252615</v>
      </c>
      <c r="Y192" s="1026">
        <f t="shared" ca="1" si="121"/>
        <v>26338204.56415255</v>
      </c>
      <c r="Z192" s="1026">
        <f t="shared" ca="1" si="121"/>
        <v>27098848.929021515</v>
      </c>
      <c r="AA192" s="1026">
        <f t="shared" ca="1" si="121"/>
        <v>27863489.106345121</v>
      </c>
      <c r="AB192" s="1026">
        <f t="shared" ca="1" si="121"/>
        <v>28630159.590354614</v>
      </c>
      <c r="AC192" s="1026">
        <f t="shared" ca="1" si="121"/>
        <v>29221077.302943859</v>
      </c>
      <c r="AD192" s="1026">
        <f t="shared" ca="1" si="121"/>
        <v>29660218.126555156</v>
      </c>
      <c r="AE192" s="1026">
        <f t="shared" ca="1" si="121"/>
        <v>29743598.237679046</v>
      </c>
      <c r="AF192" s="1026">
        <f t="shared" ca="1" si="121"/>
        <v>29827290.462372221</v>
      </c>
      <c r="AG192" s="1026">
        <f t="shared" ca="1" si="121"/>
        <v>29910636.774206501</v>
      </c>
      <c r="AH192" s="1026">
        <f t="shared" ca="1" si="121"/>
        <v>29992977.435837314</v>
      </c>
      <c r="AI192" s="1026">
        <f t="shared" ca="1" si="121"/>
        <v>30075628.988873128</v>
      </c>
      <c r="AJ192" s="1026">
        <f t="shared" ca="1" si="121"/>
        <v>36208123.248991303</v>
      </c>
    </row>
    <row r="193" spans="1:36">
      <c r="A193" s="738" t="s">
        <v>474</v>
      </c>
      <c r="F193" s="1026">
        <f ca="1">F187</f>
        <v>3772297.1899784068</v>
      </c>
      <c r="G193" s="1026">
        <f t="shared" ref="G193:AJ193" ca="1" si="122">G187</f>
        <v>4313565.0275933789</v>
      </c>
      <c r="H193" s="1026">
        <f t="shared" ca="1" si="122"/>
        <v>4876869.2536502555</v>
      </c>
      <c r="I193" s="1026">
        <f t="shared" ca="1" si="122"/>
        <v>5640232.7358831018</v>
      </c>
      <c r="J193" s="1026">
        <f t="shared" ca="1" si="122"/>
        <v>6376522.93143073</v>
      </c>
      <c r="K193" s="1026">
        <f t="shared" ca="1" si="122"/>
        <v>6626805.1760367658</v>
      </c>
      <c r="L193" s="1026">
        <f t="shared" ca="1" si="122"/>
        <v>7153611.5368520804</v>
      </c>
      <c r="M193" s="1026">
        <f t="shared" ca="1" si="122"/>
        <v>8036962.2486725301</v>
      </c>
      <c r="N193" s="1026">
        <f t="shared" ca="1" si="122"/>
        <v>8911456.6873206794</v>
      </c>
      <c r="O193" s="1026">
        <f t="shared" ca="1" si="122"/>
        <v>9174437.3995245807</v>
      </c>
      <c r="P193" s="1026">
        <f t="shared" ca="1" si="122"/>
        <v>9528439.2074969951</v>
      </c>
      <c r="Q193" s="1026">
        <f t="shared" ca="1" si="122"/>
        <v>10317331.146095924</v>
      </c>
      <c r="R193" s="1026">
        <f t="shared" ca="1" si="122"/>
        <v>11877223.238019042</v>
      </c>
      <c r="S193" s="1026">
        <f t="shared" ca="1" si="122"/>
        <v>12443351.742829852</v>
      </c>
      <c r="T193" s="1026">
        <f t="shared" ca="1" si="122"/>
        <v>13033392.769565787</v>
      </c>
      <c r="U193" s="1026">
        <f t="shared" ca="1" si="122"/>
        <v>13686858.220115287</v>
      </c>
      <c r="V193" s="1026">
        <f t="shared" ca="1" si="122"/>
        <v>14539667.597851433</v>
      </c>
      <c r="W193" s="1026">
        <f t="shared" ca="1" si="122"/>
        <v>15154058.579555463</v>
      </c>
      <c r="X193" s="1026">
        <f t="shared" ca="1" si="122"/>
        <v>15630222.004574524</v>
      </c>
      <c r="Y193" s="1026">
        <f t="shared" ca="1" si="122"/>
        <v>16164955.351873999</v>
      </c>
      <c r="Z193" s="1026">
        <f t="shared" ca="1" si="122"/>
        <v>16643256.420291882</v>
      </c>
      <c r="AA193" s="1026">
        <f t="shared" ca="1" si="122"/>
        <v>17124962.262945499</v>
      </c>
      <c r="AB193" s="1026">
        <f t="shared" ca="1" si="122"/>
        <v>17608683.611216914</v>
      </c>
      <c r="AC193" s="1026">
        <f t="shared" ca="1" si="122"/>
        <v>18251964.04462754</v>
      </c>
      <c r="AD193" s="1026">
        <f t="shared" ca="1" si="122"/>
        <v>18717147.358512688</v>
      </c>
      <c r="AE193" s="1026">
        <f t="shared" ca="1" si="122"/>
        <v>18802220.94567769</v>
      </c>
      <c r="AF193" s="1026">
        <f t="shared" ca="1" si="122"/>
        <v>18887650.489274345</v>
      </c>
      <c r="AG193" s="1026">
        <f t="shared" ca="1" si="122"/>
        <v>18972969.640481696</v>
      </c>
      <c r="AH193" s="1026">
        <f t="shared" ca="1" si="122"/>
        <v>19057710.099228483</v>
      </c>
      <c r="AI193" s="1026">
        <f t="shared" ca="1" si="122"/>
        <v>19142805.120564166</v>
      </c>
      <c r="AJ193" s="1026">
        <f t="shared" ca="1" si="122"/>
        <v>19599999.562073577</v>
      </c>
    </row>
    <row r="194" spans="1:36">
      <c r="A194" s="737" t="s">
        <v>475</v>
      </c>
      <c r="F194" s="750">
        <f ca="1">F193/F192</f>
        <v>0.60491537557511332</v>
      </c>
      <c r="G194" s="750">
        <f t="shared" ref="G194:AJ194" ca="1" si="123">G193/G192</f>
        <v>0.60207970685006695</v>
      </c>
      <c r="H194" s="750">
        <f t="shared" ca="1" si="123"/>
        <v>0.59392928072387785</v>
      </c>
      <c r="I194" s="750">
        <f t="shared" ca="1" si="123"/>
        <v>0.58535197871237332</v>
      </c>
      <c r="J194" s="750">
        <f t="shared" ca="1" si="123"/>
        <v>0.59403927322094652</v>
      </c>
      <c r="K194" s="750">
        <f t="shared" ca="1" si="123"/>
        <v>0.59425282947948066</v>
      </c>
      <c r="L194" s="750">
        <f t="shared" ca="1" si="123"/>
        <v>0.59665579870034169</v>
      </c>
      <c r="M194" s="750">
        <f t="shared" ca="1" si="123"/>
        <v>0.60344119897422133</v>
      </c>
      <c r="N194" s="750">
        <f t="shared" ca="1" si="123"/>
        <v>0.60869485274920021</v>
      </c>
      <c r="O194" s="750">
        <f t="shared" ca="1" si="123"/>
        <v>0.60878497423063072</v>
      </c>
      <c r="P194" s="750">
        <f t="shared" ca="1" si="123"/>
        <v>0.60926702355827567</v>
      </c>
      <c r="Q194" s="750">
        <f t="shared" ca="1" si="123"/>
        <v>0.60459979192826596</v>
      </c>
      <c r="R194" s="750">
        <f t="shared" ca="1" si="123"/>
        <v>0.61209044071367757</v>
      </c>
      <c r="S194" s="750">
        <f t="shared" ca="1" si="123"/>
        <v>0.61001189746033191</v>
      </c>
      <c r="T194" s="750">
        <f t="shared" ca="1" si="123"/>
        <v>0.61408516275330349</v>
      </c>
      <c r="U194" s="750">
        <f t="shared" ca="1" si="123"/>
        <v>0.61388606930047707</v>
      </c>
      <c r="V194" s="750">
        <f t="shared" ca="1" si="123"/>
        <v>0.61021994209200991</v>
      </c>
      <c r="W194" s="750">
        <f t="shared" ca="1" si="123"/>
        <v>0.61178840385476729</v>
      </c>
      <c r="X194" s="750">
        <f t="shared" ca="1" si="123"/>
        <v>0.61226938263598052</v>
      </c>
      <c r="Y194" s="750">
        <f t="shared" ca="1" si="123"/>
        <v>0.61374553123014364</v>
      </c>
      <c r="Z194" s="750">
        <f t="shared" ca="1" si="123"/>
        <v>0.61416839009969104</v>
      </c>
      <c r="AA194" s="750">
        <f t="shared" ca="1" si="123"/>
        <v>0.61460222004450171</v>
      </c>
      <c r="AB194" s="750">
        <f t="shared" ca="1" si="123"/>
        <v>0.61503965968632635</v>
      </c>
      <c r="AC194" s="750">
        <f t="shared" ca="1" si="123"/>
        <v>0.6246163977940935</v>
      </c>
      <c r="AD194" s="750">
        <f t="shared" ca="1" si="123"/>
        <v>0.63105224913214641</v>
      </c>
      <c r="AE194" s="750">
        <f t="shared" ca="1" si="123"/>
        <v>0.63214345471689193</v>
      </c>
      <c r="AF194" s="750">
        <f t="shared" ca="1" si="123"/>
        <v>0.63323386725661623</v>
      </c>
      <c r="AG194" s="750">
        <f t="shared" ca="1" si="123"/>
        <v>0.63432182282535277</v>
      </c>
      <c r="AH194" s="750">
        <f t="shared" ca="1" si="123"/>
        <v>0.63540574256083182</v>
      </c>
      <c r="AI194" s="750">
        <f t="shared" ca="1" si="123"/>
        <v>0.636488936861347</v>
      </c>
      <c r="AJ194" s="750">
        <f t="shared" ca="1" si="123"/>
        <v>0.54131498137284983</v>
      </c>
    </row>
    <row r="196" spans="1:36">
      <c r="D196" s="739" t="s">
        <v>476</v>
      </c>
      <c r="F196" s="1026">
        <f ca="1">F117-SUM(F120:F122,F127:F131)</f>
        <v>0</v>
      </c>
      <c r="G196" s="1026">
        <f t="shared" ref="G196:AJ196" ca="1" si="124">G117-SUM(G120:G122,G127:G131)</f>
        <v>460000</v>
      </c>
      <c r="H196" s="1026">
        <f t="shared" ca="1" si="124"/>
        <v>575000</v>
      </c>
      <c r="I196" s="1026">
        <f t="shared" ca="1" si="124"/>
        <v>805000</v>
      </c>
      <c r="J196" s="1026">
        <f t="shared" ca="1" si="124"/>
        <v>460034.00000000012</v>
      </c>
      <c r="K196" s="1026">
        <f t="shared" ca="1" si="124"/>
        <v>202941.17647058819</v>
      </c>
      <c r="L196" s="1026">
        <f t="shared" ca="1" si="124"/>
        <v>405882.3529411765</v>
      </c>
      <c r="M196" s="1026">
        <f t="shared" ca="1" si="124"/>
        <v>608823.52941176447</v>
      </c>
      <c r="N196" s="1026">
        <f t="shared" ca="1" si="124"/>
        <v>608823.5294117647</v>
      </c>
      <c r="O196" s="1026">
        <f t="shared" ca="1" si="124"/>
        <v>202971.17647058814</v>
      </c>
      <c r="P196" s="1026">
        <f t="shared" ca="1" si="124"/>
        <v>270588.23529411777</v>
      </c>
      <c r="Q196" s="1026">
        <f t="shared" ca="1" si="124"/>
        <v>811764.70588235243</v>
      </c>
      <c r="R196" s="1026">
        <f t="shared" ca="1" si="124"/>
        <v>1082352.9411764713</v>
      </c>
      <c r="S196" s="1026">
        <f t="shared" ca="1" si="124"/>
        <v>541216.4705882353</v>
      </c>
      <c r="T196" s="1026">
        <f t="shared" ca="1" si="124"/>
        <v>324705.8823529412</v>
      </c>
      <c r="U196" s="1026">
        <f t="shared" ca="1" si="124"/>
        <v>541176.47058823495</v>
      </c>
      <c r="V196" s="1026">
        <f t="shared" ca="1" si="124"/>
        <v>865882.35294117592</v>
      </c>
      <c r="W196" s="1026">
        <f t="shared" ca="1" si="124"/>
        <v>432973.17647058831</v>
      </c>
      <c r="X196" s="1026">
        <f t="shared" ca="1" si="124"/>
        <v>360000.00000000006</v>
      </c>
      <c r="Y196" s="1026">
        <f t="shared" ca="1" si="124"/>
        <v>360000</v>
      </c>
      <c r="Z196" s="1026">
        <f t="shared" ca="1" si="124"/>
        <v>360000</v>
      </c>
      <c r="AA196" s="1026">
        <f t="shared" ca="1" si="124"/>
        <v>360000</v>
      </c>
      <c r="AB196" s="1026">
        <f t="shared" ca="1" si="124"/>
        <v>360000.00000000006</v>
      </c>
      <c r="AC196" s="1026">
        <f t="shared" ca="1" si="124"/>
        <v>0</v>
      </c>
      <c r="AD196" s="1026">
        <f t="shared" ca="1" si="124"/>
        <v>0</v>
      </c>
      <c r="AE196" s="1026">
        <f t="shared" ca="1" si="124"/>
        <v>0</v>
      </c>
      <c r="AF196" s="1026">
        <f t="shared" ca="1" si="124"/>
        <v>0</v>
      </c>
      <c r="AG196" s="1026">
        <f t="shared" ca="1" si="124"/>
        <v>0</v>
      </c>
      <c r="AH196" s="1026">
        <f t="shared" ca="1" si="124"/>
        <v>0</v>
      </c>
      <c r="AI196" s="1026">
        <f t="shared" ca="1" si="124"/>
        <v>0</v>
      </c>
      <c r="AJ196" s="1026">
        <f t="shared" ca="1" si="124"/>
        <v>0</v>
      </c>
    </row>
    <row r="197" spans="1:36">
      <c r="D197" s="739" t="s">
        <v>477</v>
      </c>
      <c r="F197" s="1026">
        <f>F158+F165</f>
        <v>0</v>
      </c>
      <c r="G197" s="1026">
        <f t="shared" ref="G197:AJ197" si="125">G158+G165</f>
        <v>0</v>
      </c>
      <c r="H197" s="1026">
        <f t="shared" si="125"/>
        <v>0</v>
      </c>
      <c r="I197" s="1026">
        <f t="shared" si="125"/>
        <v>0</v>
      </c>
      <c r="J197" s="1026">
        <f t="shared" si="125"/>
        <v>4762500</v>
      </c>
      <c r="K197" s="1026">
        <f t="shared" si="125"/>
        <v>4762500</v>
      </c>
      <c r="L197" s="1026">
        <f t="shared" si="125"/>
        <v>4762500</v>
      </c>
      <c r="M197" s="1026">
        <f t="shared" si="125"/>
        <v>4762500</v>
      </c>
      <c r="N197" s="1026">
        <f t="shared" si="125"/>
        <v>4762500</v>
      </c>
      <c r="O197" s="1026">
        <f t="shared" si="125"/>
        <v>8964705.8823529407</v>
      </c>
      <c r="P197" s="1026">
        <f t="shared" si="125"/>
        <v>8964705.8823529407</v>
      </c>
      <c r="Q197" s="1026">
        <f t="shared" si="125"/>
        <v>8964705.8823529407</v>
      </c>
      <c r="R197" s="1026">
        <f t="shared" si="125"/>
        <v>8964705.8823529407</v>
      </c>
      <c r="S197" s="1026">
        <f t="shared" si="125"/>
        <v>14567647.05882353</v>
      </c>
      <c r="T197" s="1026">
        <f t="shared" si="125"/>
        <v>14567647.05882353</v>
      </c>
      <c r="U197" s="1026">
        <f t="shared" si="125"/>
        <v>14567647.05882353</v>
      </c>
      <c r="V197" s="1026">
        <f t="shared" si="125"/>
        <v>14567647.05882353</v>
      </c>
      <c r="W197" s="1026">
        <f t="shared" si="125"/>
        <v>19050000</v>
      </c>
      <c r="X197" s="1026">
        <f t="shared" si="125"/>
        <v>19050000</v>
      </c>
      <c r="Y197" s="1026">
        <f t="shared" si="125"/>
        <v>19050000</v>
      </c>
      <c r="Z197" s="1026">
        <f t="shared" si="125"/>
        <v>19050000</v>
      </c>
      <c r="AA197" s="1026">
        <f t="shared" si="125"/>
        <v>19050000</v>
      </c>
      <c r="AB197" s="1026">
        <f t="shared" si="125"/>
        <v>19050000</v>
      </c>
      <c r="AC197" s="1026">
        <f t="shared" si="125"/>
        <v>19050000</v>
      </c>
      <c r="AD197" s="1026">
        <f t="shared" si="125"/>
        <v>19050000</v>
      </c>
      <c r="AE197" s="1026">
        <f t="shared" si="125"/>
        <v>19050000</v>
      </c>
      <c r="AF197" s="1026">
        <f t="shared" si="125"/>
        <v>19050000</v>
      </c>
      <c r="AG197" s="1026">
        <f t="shared" si="125"/>
        <v>19050000</v>
      </c>
      <c r="AH197" s="1026">
        <f t="shared" si="125"/>
        <v>19050000</v>
      </c>
      <c r="AI197" s="1026">
        <f t="shared" si="125"/>
        <v>19050000</v>
      </c>
      <c r="AJ197" s="1026">
        <f t="shared" si="125"/>
        <v>19050000</v>
      </c>
    </row>
    <row r="198" spans="1:36">
      <c r="D198" s="739" t="s">
        <v>478</v>
      </c>
      <c r="F198" s="1026">
        <f>F160+F167</f>
        <v>0</v>
      </c>
      <c r="G198" s="1026">
        <f t="shared" ref="G198:AJ198" si="126">G160+G167</f>
        <v>-460000</v>
      </c>
      <c r="H198" s="1026">
        <f t="shared" si="126"/>
        <v>-1035000</v>
      </c>
      <c r="I198" s="1026">
        <f t="shared" si="126"/>
        <v>-1840000</v>
      </c>
      <c r="J198" s="1026">
        <f t="shared" si="126"/>
        <v>2462500</v>
      </c>
      <c r="K198" s="1026">
        <f t="shared" si="126"/>
        <v>2259558.8235294116</v>
      </c>
      <c r="L198" s="1026">
        <f t="shared" si="126"/>
        <v>1853676.4705882352</v>
      </c>
      <c r="M198" s="1026">
        <f t="shared" si="126"/>
        <v>1244852.9411764704</v>
      </c>
      <c r="N198" s="1026">
        <f t="shared" si="126"/>
        <v>636029.41176470555</v>
      </c>
      <c r="O198" s="1026">
        <f t="shared" si="126"/>
        <v>4635294.1176470593</v>
      </c>
      <c r="P198" s="1026">
        <f t="shared" si="126"/>
        <v>4364705.8823529417</v>
      </c>
      <c r="Q198" s="1026">
        <f t="shared" si="126"/>
        <v>3552941.1764705889</v>
      </c>
      <c r="R198" s="1026">
        <f t="shared" si="126"/>
        <v>2470588.2352941185</v>
      </c>
      <c r="S198" s="1026">
        <f t="shared" si="126"/>
        <v>7532352.9411764722</v>
      </c>
      <c r="T198" s="1026">
        <f t="shared" si="126"/>
        <v>7207647.0588235315</v>
      </c>
      <c r="U198" s="1026">
        <f t="shared" si="126"/>
        <v>6666470.5882352963</v>
      </c>
      <c r="V198" s="1026">
        <f t="shared" si="126"/>
        <v>5800588.2352941195</v>
      </c>
      <c r="W198" s="1026">
        <f t="shared" si="126"/>
        <v>9850000</v>
      </c>
      <c r="X198" s="1026">
        <f t="shared" si="126"/>
        <v>9490000</v>
      </c>
      <c r="Y198" s="1026">
        <f t="shared" si="126"/>
        <v>9130000</v>
      </c>
      <c r="Z198" s="1026">
        <f t="shared" si="126"/>
        <v>8770000</v>
      </c>
      <c r="AA198" s="1026">
        <f t="shared" si="126"/>
        <v>8410000</v>
      </c>
      <c r="AB198" s="1026">
        <f t="shared" si="126"/>
        <v>8050000</v>
      </c>
      <c r="AC198" s="1026">
        <f t="shared" si="126"/>
        <v>8050000</v>
      </c>
      <c r="AD198" s="1026">
        <f t="shared" si="126"/>
        <v>8050000</v>
      </c>
      <c r="AE198" s="1026">
        <f t="shared" si="126"/>
        <v>8050000</v>
      </c>
      <c r="AF198" s="1026">
        <f t="shared" si="126"/>
        <v>8050000</v>
      </c>
      <c r="AG198" s="1026">
        <f t="shared" si="126"/>
        <v>8050000</v>
      </c>
      <c r="AH198" s="1026">
        <f t="shared" si="126"/>
        <v>8050000</v>
      </c>
      <c r="AI198" s="1026">
        <f t="shared" si="126"/>
        <v>8050000</v>
      </c>
      <c r="AJ198" s="1026">
        <f t="shared" si="126"/>
        <v>8050000</v>
      </c>
    </row>
  </sheetData>
  <mergeCells count="1">
    <mergeCell ref="AE3:AI3"/>
  </mergeCells>
  <pageMargins left="0.7" right="0.7" top="0.75" bottom="0.75" header="0.3" footer="0.3"/>
  <pageSetup paperSize="3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 published="0" codeName="Sheet17">
    <pageSetUpPr fitToPage="1"/>
  </sheetPr>
  <dimension ref="A1:J439"/>
  <sheetViews>
    <sheetView showGridLines="0" view="pageBreakPreview" zoomScale="80" zoomScaleNormal="80" zoomScaleSheetLayoutView="80" zoomScalePageLayoutView="80" workbookViewId="0">
      <selection activeCell="L31" sqref="L31"/>
    </sheetView>
  </sheetViews>
  <sheetFormatPr defaultColWidth="7.5546875" defaultRowHeight="15"/>
  <cols>
    <col min="1" max="1" width="12.6640625" style="114" customWidth="1"/>
    <col min="2" max="2" width="24.6640625" style="139" customWidth="1"/>
    <col min="3" max="4" width="12.6640625" style="131" customWidth="1"/>
    <col min="5" max="5" width="18.6640625" style="114" customWidth="1"/>
    <col min="6" max="6" width="24.6640625" style="114" customWidth="1"/>
    <col min="7" max="8" width="12.6640625" style="114" customWidth="1"/>
    <col min="9" max="9" width="19.6640625" style="114" customWidth="1"/>
    <col min="10" max="16384" width="7.5546875" style="114"/>
  </cols>
  <sheetData>
    <row r="1" spans="1:10" ht="17.649999999999999">
      <c r="A1" s="44" t="str">
        <f>'Sources and Use'!A1</f>
        <v>MDG Design and Construction</v>
      </c>
      <c r="B1" s="44"/>
      <c r="C1" s="44"/>
      <c r="D1" s="194" t="s">
        <v>131</v>
      </c>
      <c r="E1" s="195">
        <f>permloanamount</f>
        <v>4725000</v>
      </c>
      <c r="F1" s="44"/>
      <c r="G1" s="186" t="s">
        <v>214</v>
      </c>
      <c r="H1" s="220">
        <f>'Debt Sizing'!K11</f>
        <v>0.05</v>
      </c>
      <c r="I1" s="44"/>
      <c r="J1" s="111"/>
    </row>
    <row r="2" spans="1:10" ht="17.649999999999999">
      <c r="A2" s="44" t="str">
        <f>'Sources and Use'!A2</f>
        <v>Virgin Islands: Piggy/Hamilton RAD</v>
      </c>
      <c r="B2" s="44"/>
      <c r="C2" s="44"/>
      <c r="D2" s="186" t="str">
        <f>'Debt Sizing'!K29</f>
        <v>Term</v>
      </c>
      <c r="E2" s="189">
        <f>'Debt Sizing'!L29</f>
        <v>30</v>
      </c>
      <c r="F2" s="44"/>
      <c r="G2" s="186"/>
      <c r="H2" s="214"/>
      <c r="I2" s="44"/>
      <c r="J2" s="111"/>
    </row>
    <row r="3" spans="1:10" ht="18" thickBot="1">
      <c r="A3" s="46" t="str">
        <f>'Sources and Use'!A3</f>
        <v>4% LIHTC and FEMA/CDBG-DR</v>
      </c>
      <c r="B3" s="46"/>
      <c r="C3" s="46"/>
      <c r="D3" s="187" t="str">
        <f>'Debt Sizing'!K30</f>
        <v>Amortization</v>
      </c>
      <c r="E3" s="196">
        <f>'Debt Sizing'!L30</f>
        <v>30</v>
      </c>
      <c r="F3" s="46"/>
      <c r="G3" s="187"/>
      <c r="H3" s="221"/>
      <c r="I3" s="46"/>
      <c r="J3" s="111"/>
    </row>
    <row r="4" spans="1:10">
      <c r="A4" s="48" t="s">
        <v>140</v>
      </c>
      <c r="B4" s="48"/>
      <c r="C4" s="48"/>
      <c r="D4" s="48"/>
      <c r="E4" s="48"/>
      <c r="F4" s="48"/>
      <c r="G4" s="48"/>
      <c r="H4" s="48"/>
      <c r="I4" s="48"/>
      <c r="J4" s="198"/>
    </row>
    <row r="5" spans="1:10" s="119" customFormat="1">
      <c r="A5" s="181"/>
      <c r="B5" s="179"/>
      <c r="C5" s="180"/>
      <c r="D5" s="180"/>
      <c r="J5" s="197"/>
    </row>
    <row r="6" spans="1:10" s="184" customFormat="1">
      <c r="A6" s="191" t="s">
        <v>42</v>
      </c>
      <c r="B6" s="193" t="s">
        <v>143</v>
      </c>
      <c r="C6" s="192" t="s">
        <v>78</v>
      </c>
      <c r="D6" s="185" t="s">
        <v>141</v>
      </c>
      <c r="E6" s="185" t="s">
        <v>148</v>
      </c>
      <c r="F6" s="185" t="s">
        <v>142</v>
      </c>
      <c r="G6" s="185" t="s">
        <v>111</v>
      </c>
      <c r="H6" s="185" t="s">
        <v>144</v>
      </c>
      <c r="I6" s="185" t="s">
        <v>145</v>
      </c>
    </row>
    <row r="7" spans="1:10">
      <c r="A7" s="182">
        <v>1</v>
      </c>
      <c r="B7" s="188">
        <f>E1</f>
        <v>4725000</v>
      </c>
      <c r="C7" s="188">
        <f>E7-D7</f>
        <v>234666.84766981832</v>
      </c>
      <c r="D7" s="188">
        <f>B7-F7</f>
        <v>69711.012578064576</v>
      </c>
      <c r="E7" s="188">
        <f>PMT($H$1/12,$E$3*12,-$E$1,0)*12</f>
        <v>304377.8602478829</v>
      </c>
      <c r="F7" s="188">
        <f>FV($H$1/12,A7*12,E$7/12,-E$1)</f>
        <v>4655288.9874219354</v>
      </c>
      <c r="G7" s="188">
        <f>FV($H$1/12,A7*12,E7/12,-E$1)*H$2</f>
        <v>0</v>
      </c>
      <c r="H7" s="188">
        <f>B7*$H$3</f>
        <v>0</v>
      </c>
      <c r="I7" s="188">
        <f>E7+G7+H7</f>
        <v>304377.8602478829</v>
      </c>
    </row>
    <row r="8" spans="1:10">
      <c r="A8" s="182">
        <v>2</v>
      </c>
      <c r="B8" s="188">
        <f>F7</f>
        <v>4655288.9874219354</v>
      </c>
      <c r="C8" s="188">
        <f t="shared" ref="C8:C41" si="0">E8-D8</f>
        <v>231100.29996306903</v>
      </c>
      <c r="D8" s="188">
        <f t="shared" ref="D8:D41" si="1">B8-F8</f>
        <v>73277.560284813866</v>
      </c>
      <c r="E8" s="188">
        <f t="shared" ref="E8:E46" si="2">PMT($H$1/12,$E$3*12,-$E$1,0)*12</f>
        <v>304377.8602478829</v>
      </c>
      <c r="F8" s="188">
        <f t="shared" ref="F8:F41" si="3">FV($H$1/12,A8*12,E$7/12,-E$1)</f>
        <v>4582011.4271371216</v>
      </c>
      <c r="G8" s="188">
        <f>FV($H$1/12,A8*12,E8/12,-E$1)*H$2</f>
        <v>0</v>
      </c>
      <c r="H8" s="188">
        <f>B8*$H$3</f>
        <v>0</v>
      </c>
      <c r="I8" s="188">
        <f>E8+G8+H8</f>
        <v>304377.8602478829</v>
      </c>
    </row>
    <row r="9" spans="1:10">
      <c r="A9" s="182">
        <v>3</v>
      </c>
      <c r="B9" s="188">
        <f t="shared" ref="B9:B41" si="4">F8</f>
        <v>4582011.4271371216</v>
      </c>
      <c r="C9" s="188">
        <f t="shared" si="0"/>
        <v>227351.2809067535</v>
      </c>
      <c r="D9" s="188">
        <f t="shared" si="1"/>
        <v>77026.5793411294</v>
      </c>
      <c r="E9" s="188">
        <f t="shared" si="2"/>
        <v>304377.8602478829</v>
      </c>
      <c r="F9" s="188">
        <f t="shared" si="3"/>
        <v>4504984.8477959922</v>
      </c>
      <c r="G9" s="188">
        <f t="shared" ref="G9:G41" si="5">FV($H$1/12,A9*12,E9/12,-E$1)*H$2</f>
        <v>0</v>
      </c>
      <c r="H9" s="188">
        <f t="shared" ref="H9:H41" si="6">B9*$H$3</f>
        <v>0</v>
      </c>
      <c r="I9" s="188">
        <f t="shared" ref="I9:I41" si="7">E9+G9+H9</f>
        <v>304377.8602478829</v>
      </c>
    </row>
    <row r="10" spans="1:10">
      <c r="A10" s="182">
        <v>4</v>
      </c>
      <c r="B10" s="188">
        <f t="shared" si="4"/>
        <v>4504984.8477959922</v>
      </c>
      <c r="C10" s="188">
        <f t="shared" si="0"/>
        <v>223410.45492032345</v>
      </c>
      <c r="D10" s="188">
        <f t="shared" si="1"/>
        <v>80967.405327559449</v>
      </c>
      <c r="E10" s="188">
        <f t="shared" si="2"/>
        <v>304377.8602478829</v>
      </c>
      <c r="F10" s="188">
        <f t="shared" si="3"/>
        <v>4424017.4424684327</v>
      </c>
      <c r="G10" s="188">
        <f t="shared" si="5"/>
        <v>0</v>
      </c>
      <c r="H10" s="188">
        <f t="shared" si="6"/>
        <v>0</v>
      </c>
      <c r="I10" s="188">
        <f t="shared" si="7"/>
        <v>304377.8602478829</v>
      </c>
    </row>
    <row r="11" spans="1:10">
      <c r="A11" s="182">
        <v>5</v>
      </c>
      <c r="B11" s="188">
        <f t="shared" si="4"/>
        <v>4424017.4424684327</v>
      </c>
      <c r="C11" s="188">
        <f t="shared" si="0"/>
        <v>219268.0087972068</v>
      </c>
      <c r="D11" s="188">
        <f t="shared" si="1"/>
        <v>85109.851450676098</v>
      </c>
      <c r="E11" s="188">
        <f t="shared" si="2"/>
        <v>304377.8602478829</v>
      </c>
      <c r="F11" s="188">
        <f t="shared" si="3"/>
        <v>4338907.5910177566</v>
      </c>
      <c r="G11" s="188">
        <f t="shared" si="5"/>
        <v>0</v>
      </c>
      <c r="H11" s="188">
        <f t="shared" si="6"/>
        <v>0</v>
      </c>
      <c r="I11" s="188">
        <f t="shared" si="7"/>
        <v>304377.8602478829</v>
      </c>
    </row>
    <row r="12" spans="1:10">
      <c r="A12" s="182">
        <v>6</v>
      </c>
      <c r="B12" s="188">
        <f t="shared" si="4"/>
        <v>4338907.5910177566</v>
      </c>
      <c r="C12" s="188">
        <f t="shared" si="0"/>
        <v>214913.62726855732</v>
      </c>
      <c r="D12" s="188">
        <f t="shared" si="1"/>
        <v>89464.232979325578</v>
      </c>
      <c r="E12" s="188">
        <f t="shared" si="2"/>
        <v>304377.8602478829</v>
      </c>
      <c r="F12" s="188">
        <f t="shared" si="3"/>
        <v>4249443.358038431</v>
      </c>
      <c r="G12" s="188">
        <f t="shared" si="5"/>
        <v>0</v>
      </c>
      <c r="H12" s="188">
        <f t="shared" si="6"/>
        <v>0</v>
      </c>
      <c r="I12" s="188">
        <f t="shared" si="7"/>
        <v>304377.8602478829</v>
      </c>
    </row>
    <row r="13" spans="1:10">
      <c r="A13" s="182">
        <v>7</v>
      </c>
      <c r="B13" s="188">
        <f t="shared" si="4"/>
        <v>4249443.358038431</v>
      </c>
      <c r="C13" s="188">
        <f t="shared" si="0"/>
        <v>210336.46731680061</v>
      </c>
      <c r="D13" s="188">
        <f t="shared" si="1"/>
        <v>94041.392931082286</v>
      </c>
      <c r="E13" s="188">
        <f t="shared" si="2"/>
        <v>304377.8602478829</v>
      </c>
      <c r="F13" s="188">
        <f t="shared" si="3"/>
        <v>4155401.9651073487</v>
      </c>
      <c r="G13" s="188">
        <f t="shared" si="5"/>
        <v>0</v>
      </c>
      <c r="H13" s="188">
        <f t="shared" si="6"/>
        <v>0</v>
      </c>
      <c r="I13" s="188">
        <f t="shared" si="7"/>
        <v>304377.8602478829</v>
      </c>
    </row>
    <row r="14" spans="1:10">
      <c r="A14" s="182">
        <v>8</v>
      </c>
      <c r="B14" s="188">
        <f t="shared" si="4"/>
        <v>4155401.9651073487</v>
      </c>
      <c r="C14" s="188">
        <f t="shared" si="0"/>
        <v>205525.13117500569</v>
      </c>
      <c r="D14" s="188">
        <f t="shared" si="1"/>
        <v>98852.729072877206</v>
      </c>
      <c r="E14" s="188">
        <f t="shared" si="2"/>
        <v>304377.8602478829</v>
      </c>
      <c r="F14" s="188">
        <f t="shared" si="3"/>
        <v>4056549.2360344715</v>
      </c>
      <c r="G14" s="188">
        <f t="shared" si="5"/>
        <v>0</v>
      </c>
      <c r="H14" s="188">
        <f t="shared" si="6"/>
        <v>0</v>
      </c>
      <c r="I14" s="188">
        <f t="shared" si="7"/>
        <v>304377.8602478829</v>
      </c>
    </row>
    <row r="15" spans="1:10">
      <c r="A15" s="182">
        <v>9</v>
      </c>
      <c r="B15" s="188">
        <f t="shared" si="4"/>
        <v>4056549.2360344715</v>
      </c>
      <c r="C15" s="188">
        <f t="shared" si="0"/>
        <v>200467.63794484769</v>
      </c>
      <c r="D15" s="188">
        <f t="shared" si="1"/>
        <v>103910.2223030352</v>
      </c>
      <c r="E15" s="188">
        <f t="shared" si="2"/>
        <v>304377.8602478829</v>
      </c>
      <c r="F15" s="188">
        <f t="shared" si="3"/>
        <v>3952639.0137314363</v>
      </c>
      <c r="G15" s="188">
        <f t="shared" si="5"/>
        <v>0</v>
      </c>
      <c r="H15" s="188">
        <f t="shared" si="6"/>
        <v>0</v>
      </c>
      <c r="I15" s="188">
        <f t="shared" si="7"/>
        <v>304377.8602478829</v>
      </c>
    </row>
    <row r="16" spans="1:10">
      <c r="A16" s="182">
        <v>10</v>
      </c>
      <c r="B16" s="188">
        <f t="shared" si="4"/>
        <v>3952639.0137314363</v>
      </c>
      <c r="C16" s="188">
        <f t="shared" si="0"/>
        <v>195151.39376251155</v>
      </c>
      <c r="D16" s="188">
        <f t="shared" si="1"/>
        <v>109226.46648537135</v>
      </c>
      <c r="E16" s="188">
        <f t="shared" si="2"/>
        <v>304377.8602478829</v>
      </c>
      <c r="F16" s="188">
        <f t="shared" si="3"/>
        <v>3843412.547246065</v>
      </c>
      <c r="G16" s="188">
        <f t="shared" si="5"/>
        <v>0</v>
      </c>
      <c r="H16" s="188">
        <f t="shared" si="6"/>
        <v>0</v>
      </c>
      <c r="I16" s="188">
        <f t="shared" si="7"/>
        <v>304377.8602478829</v>
      </c>
    </row>
    <row r="17" spans="1:9">
      <c r="A17" s="182">
        <v>11</v>
      </c>
      <c r="B17" s="188">
        <f t="shared" si="4"/>
        <v>3843412.547246065</v>
      </c>
      <c r="C17" s="188">
        <f t="shared" si="0"/>
        <v>189563.16043820593</v>
      </c>
      <c r="D17" s="188">
        <f t="shared" si="1"/>
        <v>114814.69980967697</v>
      </c>
      <c r="E17" s="188">
        <f t="shared" si="2"/>
        <v>304377.8602478829</v>
      </c>
      <c r="F17" s="188">
        <f t="shared" si="3"/>
        <v>3728597.847436388</v>
      </c>
      <c r="G17" s="188">
        <f t="shared" si="5"/>
        <v>0</v>
      </c>
      <c r="H17" s="188">
        <f t="shared" si="6"/>
        <v>0</v>
      </c>
      <c r="I17" s="188">
        <f t="shared" si="7"/>
        <v>304377.8602478829</v>
      </c>
    </row>
    <row r="18" spans="1:9">
      <c r="A18" s="182">
        <v>12</v>
      </c>
      <c r="B18" s="188">
        <f t="shared" si="4"/>
        <v>3728597.847436388</v>
      </c>
      <c r="C18" s="188">
        <f t="shared" si="0"/>
        <v>183689.02249122027</v>
      </c>
      <c r="D18" s="188">
        <f t="shared" si="1"/>
        <v>120688.83775666263</v>
      </c>
      <c r="E18" s="188">
        <f t="shared" si="2"/>
        <v>304377.8602478829</v>
      </c>
      <c r="F18" s="188">
        <f t="shared" si="3"/>
        <v>3607909.0096797254</v>
      </c>
      <c r="G18" s="188">
        <f t="shared" si="5"/>
        <v>0</v>
      </c>
      <c r="H18" s="188">
        <f t="shared" si="6"/>
        <v>0</v>
      </c>
      <c r="I18" s="188">
        <f t="shared" si="7"/>
        <v>304377.8602478829</v>
      </c>
    </row>
    <row r="19" spans="1:9">
      <c r="A19" s="182">
        <v>13</v>
      </c>
      <c r="B19" s="188">
        <f t="shared" si="4"/>
        <v>3607909.0096797254</v>
      </c>
      <c r="C19" s="188">
        <f t="shared" si="0"/>
        <v>177514.35249844927</v>
      </c>
      <c r="D19" s="188">
        <f t="shared" si="1"/>
        <v>126863.50774943363</v>
      </c>
      <c r="E19" s="188">
        <f t="shared" si="2"/>
        <v>304377.8602478829</v>
      </c>
      <c r="F19" s="188">
        <f t="shared" si="3"/>
        <v>3481045.5019302918</v>
      </c>
      <c r="G19" s="188">
        <f t="shared" si="5"/>
        <v>0</v>
      </c>
      <c r="H19" s="188">
        <f t="shared" si="6"/>
        <v>0</v>
      </c>
      <c r="I19" s="188">
        <f t="shared" si="7"/>
        <v>304377.8602478829</v>
      </c>
    </row>
    <row r="20" spans="1:9">
      <c r="A20" s="182">
        <v>14</v>
      </c>
      <c r="B20" s="188">
        <f t="shared" si="4"/>
        <v>3481045.5019302918</v>
      </c>
      <c r="C20" s="188">
        <f t="shared" si="0"/>
        <v>171023.77467005223</v>
      </c>
      <c r="D20" s="188">
        <f t="shared" si="1"/>
        <v>133354.08557783067</v>
      </c>
      <c r="E20" s="188">
        <f t="shared" si="2"/>
        <v>304377.8602478829</v>
      </c>
      <c r="F20" s="188">
        <f t="shared" si="3"/>
        <v>3347691.4163524611</v>
      </c>
      <c r="G20" s="188">
        <f t="shared" si="5"/>
        <v>0</v>
      </c>
      <c r="H20" s="188">
        <f t="shared" si="6"/>
        <v>0</v>
      </c>
      <c r="I20" s="188">
        <f t="shared" si="7"/>
        <v>304377.8602478829</v>
      </c>
    </row>
    <row r="21" spans="1:9">
      <c r="A21" s="182">
        <v>15</v>
      </c>
      <c r="B21" s="188">
        <f t="shared" si="4"/>
        <v>3347691.4163524611</v>
      </c>
      <c r="C21" s="188">
        <f t="shared" si="0"/>
        <v>164201.12656160991</v>
      </c>
      <c r="D21" s="188">
        <f t="shared" si="1"/>
        <v>140176.73368627299</v>
      </c>
      <c r="E21" s="188">
        <f t="shared" si="2"/>
        <v>304377.8602478829</v>
      </c>
      <c r="F21" s="188">
        <f t="shared" si="3"/>
        <v>3207514.6826661881</v>
      </c>
      <c r="G21" s="188">
        <f t="shared" si="5"/>
        <v>0</v>
      </c>
      <c r="H21" s="188">
        <f t="shared" si="6"/>
        <v>0</v>
      </c>
      <c r="I21" s="188">
        <f t="shared" si="7"/>
        <v>304377.8602478829</v>
      </c>
    </row>
    <row r="22" spans="1:9">
      <c r="A22" s="182">
        <v>16</v>
      </c>
      <c r="B22" s="188">
        <f t="shared" si="4"/>
        <v>3207514.6826661881</v>
      </c>
      <c r="C22" s="188">
        <f t="shared" si="0"/>
        <v>157029.41882735572</v>
      </c>
      <c r="D22" s="188">
        <f t="shared" si="1"/>
        <v>147348.44142052718</v>
      </c>
      <c r="E22" s="188">
        <f t="shared" si="2"/>
        <v>304377.8602478829</v>
      </c>
      <c r="F22" s="188">
        <f t="shared" si="3"/>
        <v>3060166.2412456609</v>
      </c>
      <c r="G22" s="188">
        <f t="shared" si="5"/>
        <v>0</v>
      </c>
      <c r="H22" s="188">
        <f t="shared" si="6"/>
        <v>0</v>
      </c>
      <c r="I22" s="188">
        <f t="shared" si="7"/>
        <v>304377.8602478829</v>
      </c>
    </row>
    <row r="23" spans="1:9">
      <c r="A23" s="182">
        <v>17</v>
      </c>
      <c r="B23" s="188">
        <f t="shared" si="4"/>
        <v>3060166.2412456609</v>
      </c>
      <c r="C23" s="188">
        <f t="shared" si="0"/>
        <v>149490.7929143681</v>
      </c>
      <c r="D23" s="188">
        <f t="shared" si="1"/>
        <v>154887.0673335148</v>
      </c>
      <c r="E23" s="188">
        <f t="shared" si="2"/>
        <v>304377.8602478829</v>
      </c>
      <c r="F23" s="188">
        <f t="shared" si="3"/>
        <v>2905279.1739121461</v>
      </c>
      <c r="G23" s="188">
        <f t="shared" si="5"/>
        <v>0</v>
      </c>
      <c r="H23" s="188">
        <f t="shared" si="6"/>
        <v>0</v>
      </c>
      <c r="I23" s="188">
        <f t="shared" si="7"/>
        <v>304377.8602478829</v>
      </c>
    </row>
    <row r="24" spans="1:9">
      <c r="A24" s="182">
        <v>18</v>
      </c>
      <c r="B24" s="188">
        <f t="shared" si="4"/>
        <v>2905279.1739121461</v>
      </c>
      <c r="C24" s="188">
        <f t="shared" si="0"/>
        <v>141566.47659224819</v>
      </c>
      <c r="D24" s="188">
        <f t="shared" si="1"/>
        <v>162811.38365563471</v>
      </c>
      <c r="E24" s="188">
        <f t="shared" si="2"/>
        <v>304377.8602478829</v>
      </c>
      <c r="F24" s="188">
        <f t="shared" si="3"/>
        <v>2742467.7902565114</v>
      </c>
      <c r="G24" s="188">
        <f t="shared" si="5"/>
        <v>0</v>
      </c>
      <c r="H24" s="188">
        <f t="shared" si="6"/>
        <v>0</v>
      </c>
      <c r="I24" s="188">
        <f t="shared" si="7"/>
        <v>304377.8602478829</v>
      </c>
    </row>
    <row r="25" spans="1:9">
      <c r="A25" s="182">
        <v>19</v>
      </c>
      <c r="B25" s="188">
        <f t="shared" si="4"/>
        <v>2742467.7902565114</v>
      </c>
      <c r="C25" s="188">
        <f t="shared" si="0"/>
        <v>133236.73720767617</v>
      </c>
      <c r="D25" s="188">
        <f t="shared" si="1"/>
        <v>171141.12304020673</v>
      </c>
      <c r="E25" s="188">
        <f t="shared" si="2"/>
        <v>304377.8602478829</v>
      </c>
      <c r="F25" s="188">
        <f t="shared" si="3"/>
        <v>2571326.6672163047</v>
      </c>
      <c r="G25" s="188">
        <f t="shared" si="5"/>
        <v>0</v>
      </c>
      <c r="H25" s="188">
        <f t="shared" si="6"/>
        <v>0</v>
      </c>
      <c r="I25" s="188">
        <f t="shared" si="7"/>
        <v>304377.8602478829</v>
      </c>
    </row>
    <row r="26" spans="1:9">
      <c r="A26" s="182">
        <v>20</v>
      </c>
      <c r="B26" s="188">
        <f t="shared" si="4"/>
        <v>2571326.6672163047</v>
      </c>
      <c r="C26" s="188">
        <f t="shared" si="0"/>
        <v>124480.83254732646</v>
      </c>
      <c r="D26" s="188">
        <f t="shared" si="1"/>
        <v>179897.02770055644</v>
      </c>
      <c r="E26" s="188">
        <f t="shared" si="2"/>
        <v>304377.8602478829</v>
      </c>
      <c r="F26" s="188">
        <f t="shared" si="3"/>
        <v>2391429.6395157482</v>
      </c>
      <c r="G26" s="188">
        <f t="shared" si="5"/>
        <v>0</v>
      </c>
      <c r="H26" s="188">
        <f t="shared" si="6"/>
        <v>0</v>
      </c>
      <c r="I26" s="188">
        <f t="shared" si="7"/>
        <v>304377.8602478829</v>
      </c>
    </row>
    <row r="27" spans="1:9">
      <c r="A27" s="182">
        <v>21</v>
      </c>
      <c r="B27" s="188">
        <f t="shared" si="4"/>
        <v>2391429.6395157482</v>
      </c>
      <c r="C27" s="188">
        <f t="shared" si="0"/>
        <v>115276.95918688632</v>
      </c>
      <c r="D27" s="188">
        <f t="shared" si="1"/>
        <v>189100.90106099658</v>
      </c>
      <c r="E27" s="188">
        <f t="shared" si="2"/>
        <v>304377.8602478829</v>
      </c>
      <c r="F27" s="188">
        <f t="shared" si="3"/>
        <v>2202328.7384547517</v>
      </c>
      <c r="G27" s="188">
        <f t="shared" si="5"/>
        <v>0</v>
      </c>
      <c r="H27" s="188">
        <f t="shared" si="6"/>
        <v>0</v>
      </c>
      <c r="I27" s="188">
        <f t="shared" si="7"/>
        <v>304377.8602478829</v>
      </c>
    </row>
    <row r="28" spans="1:9">
      <c r="A28" s="182">
        <v>22</v>
      </c>
      <c r="B28" s="188">
        <f t="shared" si="4"/>
        <v>2202328.7384547517</v>
      </c>
      <c r="C28" s="188">
        <f t="shared" si="0"/>
        <v>105602.19819745503</v>
      </c>
      <c r="D28" s="188">
        <f t="shared" si="1"/>
        <v>198775.66205042787</v>
      </c>
      <c r="E28" s="188">
        <f t="shared" si="2"/>
        <v>304377.8602478829</v>
      </c>
      <c r="F28" s="188">
        <f t="shared" si="3"/>
        <v>2003553.0764043238</v>
      </c>
      <c r="G28" s="188">
        <f t="shared" si="5"/>
        <v>0</v>
      </c>
      <c r="H28" s="188">
        <f t="shared" si="6"/>
        <v>0</v>
      </c>
      <c r="I28" s="188">
        <f t="shared" si="7"/>
        <v>304377.8602478829</v>
      </c>
    </row>
    <row r="29" spans="1:9">
      <c r="A29" s="182">
        <v>23</v>
      </c>
      <c r="B29" s="188">
        <f t="shared" si="4"/>
        <v>2003553.0764043238</v>
      </c>
      <c r="C29" s="188">
        <f t="shared" si="0"/>
        <v>95432.458074261318</v>
      </c>
      <c r="D29" s="188">
        <f t="shared" si="1"/>
        <v>208945.40217362158</v>
      </c>
      <c r="E29" s="188">
        <f t="shared" si="2"/>
        <v>304377.8602478829</v>
      </c>
      <c r="F29" s="188">
        <f t="shared" si="3"/>
        <v>1794607.6742307022</v>
      </c>
      <c r="G29" s="188">
        <f t="shared" si="5"/>
        <v>0</v>
      </c>
      <c r="H29" s="188">
        <f t="shared" si="6"/>
        <v>0</v>
      </c>
      <c r="I29" s="188">
        <f t="shared" si="7"/>
        <v>304377.8602478829</v>
      </c>
    </row>
    <row r="30" spans="1:9">
      <c r="A30" s="182">
        <v>24</v>
      </c>
      <c r="B30" s="188">
        <f t="shared" si="4"/>
        <v>1794607.6742307022</v>
      </c>
      <c r="C30" s="188">
        <f t="shared" si="0"/>
        <v>84742.414745394955</v>
      </c>
      <c r="D30" s="188">
        <f t="shared" si="1"/>
        <v>219635.44550248794</v>
      </c>
      <c r="E30" s="188">
        <f t="shared" si="2"/>
        <v>304377.8602478829</v>
      </c>
      <c r="F30" s="188">
        <f t="shared" si="3"/>
        <v>1574972.2287282143</v>
      </c>
      <c r="G30" s="188">
        <f t="shared" si="5"/>
        <v>0</v>
      </c>
      <c r="H30" s="188">
        <f t="shared" si="6"/>
        <v>0</v>
      </c>
      <c r="I30" s="188">
        <f t="shared" si="7"/>
        <v>304377.8602478829</v>
      </c>
    </row>
    <row r="31" spans="1:9">
      <c r="A31" s="182">
        <v>25</v>
      </c>
      <c r="B31" s="188">
        <f t="shared" si="4"/>
        <v>1574972.2287282143</v>
      </c>
      <c r="C31" s="188">
        <f t="shared" si="0"/>
        <v>73505.448511388968</v>
      </c>
      <c r="D31" s="188">
        <f t="shared" si="1"/>
        <v>230872.41173649393</v>
      </c>
      <c r="E31" s="188">
        <f t="shared" si="2"/>
        <v>304377.8602478829</v>
      </c>
      <c r="F31" s="188">
        <f t="shared" si="3"/>
        <v>1344099.8169917203</v>
      </c>
      <c r="G31" s="188">
        <f t="shared" si="5"/>
        <v>0</v>
      </c>
      <c r="H31" s="188">
        <f t="shared" si="6"/>
        <v>0</v>
      </c>
      <c r="I31" s="188">
        <f t="shared" si="7"/>
        <v>304377.8602478829</v>
      </c>
    </row>
    <row r="32" spans="1:9">
      <c r="A32" s="182">
        <v>26</v>
      </c>
      <c r="B32" s="188">
        <f t="shared" si="4"/>
        <v>1344099.8169917203</v>
      </c>
      <c r="C32" s="188">
        <f t="shared" si="0"/>
        <v>61693.577758413623</v>
      </c>
      <c r="D32" s="188">
        <f t="shared" si="1"/>
        <v>242684.28248946927</v>
      </c>
      <c r="E32" s="188">
        <f t="shared" si="2"/>
        <v>304377.8602478829</v>
      </c>
      <c r="F32" s="188">
        <f t="shared" si="3"/>
        <v>1101415.5345022511</v>
      </c>
      <c r="G32" s="188">
        <f t="shared" si="5"/>
        <v>0</v>
      </c>
      <c r="H32" s="188">
        <f t="shared" si="6"/>
        <v>0</v>
      </c>
      <c r="I32" s="188">
        <f t="shared" si="7"/>
        <v>304377.8602478829</v>
      </c>
    </row>
    <row r="33" spans="1:9">
      <c r="A33" s="182">
        <v>27</v>
      </c>
      <c r="B33" s="188">
        <f t="shared" si="4"/>
        <v>1101415.5345022511</v>
      </c>
      <c r="C33" s="188">
        <f t="shared" si="0"/>
        <v>49277.389280189644</v>
      </c>
      <c r="D33" s="188">
        <f t="shared" si="1"/>
        <v>255100.47096769325</v>
      </c>
      <c r="E33" s="188">
        <f t="shared" si="2"/>
        <v>304377.8602478829</v>
      </c>
      <c r="F33" s="188">
        <f t="shared" si="3"/>
        <v>846315.06353455782</v>
      </c>
      <c r="G33" s="188">
        <f t="shared" si="5"/>
        <v>0</v>
      </c>
      <c r="H33" s="188">
        <f t="shared" si="6"/>
        <v>0</v>
      </c>
      <c r="I33" s="188">
        <f t="shared" si="7"/>
        <v>304377.8602478829</v>
      </c>
    </row>
    <row r="34" spans="1:9">
      <c r="A34" s="182">
        <v>28</v>
      </c>
      <c r="B34" s="188">
        <f t="shared" si="4"/>
        <v>846315.06353455782</v>
      </c>
      <c r="C34" s="188">
        <f t="shared" si="0"/>
        <v>36225.965034953202</v>
      </c>
      <c r="D34" s="188">
        <f t="shared" si="1"/>
        <v>268151.8952129297</v>
      </c>
      <c r="E34" s="188">
        <f t="shared" si="2"/>
        <v>304377.8602478829</v>
      </c>
      <c r="F34" s="188">
        <f t="shared" si="3"/>
        <v>578163.16832162812</v>
      </c>
      <c r="G34" s="188">
        <f t="shared" si="5"/>
        <v>0</v>
      </c>
      <c r="H34" s="188">
        <f t="shared" si="6"/>
        <v>0</v>
      </c>
      <c r="I34" s="188">
        <f t="shared" si="7"/>
        <v>304377.8602478829</v>
      </c>
    </row>
    <row r="35" spans="1:9">
      <c r="A35" s="182">
        <v>29</v>
      </c>
      <c r="B35" s="188">
        <f t="shared" si="4"/>
        <v>578163.16832162812</v>
      </c>
      <c r="C35" s="188">
        <f t="shared" si="0"/>
        <v>22506.805155283655</v>
      </c>
      <c r="D35" s="188">
        <f t="shared" si="1"/>
        <v>281871.05509259924</v>
      </c>
      <c r="E35" s="188">
        <f t="shared" si="2"/>
        <v>304377.8602478829</v>
      </c>
      <c r="F35" s="188">
        <f t="shared" si="3"/>
        <v>296292.11322902888</v>
      </c>
      <c r="G35" s="188">
        <f t="shared" si="5"/>
        <v>0</v>
      </c>
      <c r="H35" s="188">
        <f t="shared" si="6"/>
        <v>0</v>
      </c>
      <c r="I35" s="188">
        <f t="shared" si="7"/>
        <v>304377.8602478829</v>
      </c>
    </row>
    <row r="36" spans="1:9">
      <c r="A36" s="182">
        <v>30</v>
      </c>
      <c r="B36" s="188">
        <f t="shared" si="4"/>
        <v>296292.11322902888</v>
      </c>
      <c r="C36" s="188">
        <f t="shared" si="0"/>
        <v>8085.7470188167645</v>
      </c>
      <c r="D36" s="188">
        <f t="shared" si="1"/>
        <v>296292.11322906613</v>
      </c>
      <c r="E36" s="188">
        <f t="shared" si="2"/>
        <v>304377.8602478829</v>
      </c>
      <c r="F36" s="188">
        <f t="shared" si="3"/>
        <v>-3.7252902984619141E-8</v>
      </c>
      <c r="G36" s="188">
        <f t="shared" si="5"/>
        <v>0</v>
      </c>
      <c r="H36" s="188">
        <f t="shared" si="6"/>
        <v>0</v>
      </c>
      <c r="I36" s="188">
        <f t="shared" si="7"/>
        <v>304377.8602478829</v>
      </c>
    </row>
    <row r="37" spans="1:9">
      <c r="A37" s="182">
        <v>31</v>
      </c>
      <c r="B37" s="188">
        <f t="shared" si="4"/>
        <v>-3.7252902984619141E-8</v>
      </c>
      <c r="C37" s="188">
        <f t="shared" si="0"/>
        <v>-7073.1198213781463</v>
      </c>
      <c r="D37" s="188">
        <f t="shared" si="1"/>
        <v>311450.98006926104</v>
      </c>
      <c r="E37" s="188">
        <f t="shared" si="2"/>
        <v>304377.8602478829</v>
      </c>
      <c r="F37" s="188">
        <f t="shared" si="3"/>
        <v>-311450.9800692983</v>
      </c>
      <c r="G37" s="188">
        <f t="shared" si="5"/>
        <v>0</v>
      </c>
      <c r="H37" s="188">
        <f t="shared" si="6"/>
        <v>0</v>
      </c>
      <c r="I37" s="188">
        <f t="shared" si="7"/>
        <v>304377.8602478829</v>
      </c>
    </row>
    <row r="38" spans="1:9">
      <c r="A38" s="182">
        <v>32</v>
      </c>
      <c r="B38" s="188">
        <f t="shared" si="4"/>
        <v>-311450.9800692983</v>
      </c>
      <c r="C38" s="188">
        <f t="shared" si="0"/>
        <v>-23007.543058836018</v>
      </c>
      <c r="D38" s="188">
        <f t="shared" si="1"/>
        <v>327385.40330671892</v>
      </c>
      <c r="E38" s="188">
        <f t="shared" si="2"/>
        <v>304377.8602478829</v>
      </c>
      <c r="F38" s="188">
        <f t="shared" si="3"/>
        <v>-638836.38337601721</v>
      </c>
      <c r="G38" s="188">
        <f t="shared" si="5"/>
        <v>0</v>
      </c>
      <c r="H38" s="188">
        <f t="shared" si="6"/>
        <v>0</v>
      </c>
      <c r="I38" s="188">
        <f t="shared" si="7"/>
        <v>304377.8602478829</v>
      </c>
    </row>
    <row r="39" spans="1:9">
      <c r="A39" s="182">
        <v>33</v>
      </c>
      <c r="B39" s="188">
        <f t="shared" si="4"/>
        <v>-638836.38337601721</v>
      </c>
      <c r="C39" s="188">
        <f t="shared" si="0"/>
        <v>-39757.20163079456</v>
      </c>
      <c r="D39" s="188">
        <f t="shared" si="1"/>
        <v>344135.06187867746</v>
      </c>
      <c r="E39" s="188">
        <f t="shared" si="2"/>
        <v>304377.8602478829</v>
      </c>
      <c r="F39" s="188">
        <f t="shared" si="3"/>
        <v>-982971.44525469467</v>
      </c>
      <c r="G39" s="188">
        <f t="shared" si="5"/>
        <v>0</v>
      </c>
      <c r="H39" s="188">
        <f t="shared" si="6"/>
        <v>0</v>
      </c>
      <c r="I39" s="188">
        <f t="shared" si="7"/>
        <v>304377.8602478829</v>
      </c>
    </row>
    <row r="40" spans="1:9">
      <c r="A40" s="182">
        <v>34</v>
      </c>
      <c r="B40" s="188">
        <f t="shared" si="4"/>
        <v>-982971.44525469467</v>
      </c>
      <c r="C40" s="188">
        <f t="shared" si="0"/>
        <v>-57363.804524154519</v>
      </c>
      <c r="D40" s="188">
        <f t="shared" si="1"/>
        <v>361741.66477203742</v>
      </c>
      <c r="E40" s="188">
        <f t="shared" si="2"/>
        <v>304377.8602478829</v>
      </c>
      <c r="F40" s="188">
        <f t="shared" si="3"/>
        <v>-1344713.1100267321</v>
      </c>
      <c r="G40" s="188">
        <f t="shared" si="5"/>
        <v>0</v>
      </c>
      <c r="H40" s="188">
        <f t="shared" si="6"/>
        <v>0</v>
      </c>
      <c r="I40" s="188">
        <f t="shared" si="7"/>
        <v>304377.8602478829</v>
      </c>
    </row>
    <row r="41" spans="1:9">
      <c r="A41" s="182">
        <v>35</v>
      </c>
      <c r="B41" s="188">
        <f t="shared" si="4"/>
        <v>-1344713.1100267321</v>
      </c>
      <c r="C41" s="188">
        <f t="shared" si="0"/>
        <v>-75871.194636781816</v>
      </c>
      <c r="D41" s="188">
        <f t="shared" si="1"/>
        <v>380249.05488466471</v>
      </c>
      <c r="E41" s="188">
        <f t="shared" si="2"/>
        <v>304377.8602478829</v>
      </c>
      <c r="F41" s="188">
        <f t="shared" si="3"/>
        <v>-1724962.1649113968</v>
      </c>
      <c r="G41" s="188">
        <f t="shared" si="5"/>
        <v>0</v>
      </c>
      <c r="H41" s="188">
        <f t="shared" si="6"/>
        <v>0</v>
      </c>
      <c r="I41" s="188">
        <f t="shared" si="7"/>
        <v>304377.8602478829</v>
      </c>
    </row>
    <row r="42" spans="1:9">
      <c r="A42" s="182">
        <v>36</v>
      </c>
      <c r="B42" s="188">
        <f t="shared" ref="B42:B46" si="8">F41</f>
        <v>-1724962.1649113968</v>
      </c>
      <c r="C42" s="188">
        <f t="shared" ref="C42:C46" si="9">E42-D42</f>
        <v>-95325.457952425932</v>
      </c>
      <c r="D42" s="188">
        <f t="shared" ref="D42:D46" si="10">B42-F42</f>
        <v>399703.31820030883</v>
      </c>
      <c r="E42" s="188">
        <f t="shared" si="2"/>
        <v>304377.8602478829</v>
      </c>
      <c r="F42" s="188">
        <f t="shared" ref="F42:F46" si="11">FV($H$1/12,A42*12,E$7/12,-E$1)</f>
        <v>-2124665.4831117056</v>
      </c>
      <c r="G42" s="188">
        <f t="shared" ref="G42:G46" si="12">FV($H$1/12,A42*12,E42/12,-E$1)*H$2</f>
        <v>0</v>
      </c>
      <c r="H42" s="188">
        <f t="shared" ref="H42:H46" si="13">B42*$H$3</f>
        <v>0</v>
      </c>
      <c r="I42" s="188">
        <f t="shared" ref="I42:I46" si="14">E42+G42+H42</f>
        <v>304377.8602478829</v>
      </c>
    </row>
    <row r="43" spans="1:9">
      <c r="A43" s="182">
        <v>37</v>
      </c>
      <c r="B43" s="188">
        <f t="shared" si="8"/>
        <v>-2124665.4831117056</v>
      </c>
      <c r="C43" s="188">
        <f t="shared" si="9"/>
        <v>-115775.03830117465</v>
      </c>
      <c r="D43" s="188">
        <f t="shared" si="10"/>
        <v>420152.89854905754</v>
      </c>
      <c r="E43" s="188">
        <f t="shared" si="2"/>
        <v>304377.8602478829</v>
      </c>
      <c r="F43" s="188">
        <f t="shared" si="11"/>
        <v>-2544818.3816607632</v>
      </c>
      <c r="G43" s="188">
        <f t="shared" si="12"/>
        <v>0</v>
      </c>
      <c r="H43" s="188">
        <f t="shared" si="13"/>
        <v>0</v>
      </c>
      <c r="I43" s="188">
        <f t="shared" si="14"/>
        <v>304377.8602478829</v>
      </c>
    </row>
    <row r="44" spans="1:9">
      <c r="A44" s="182">
        <v>38</v>
      </c>
      <c r="B44" s="188">
        <f t="shared" si="8"/>
        <v>-2544818.3816607632</v>
      </c>
      <c r="C44" s="188">
        <f t="shared" si="9"/>
        <v>-137270.85799145803</v>
      </c>
      <c r="D44" s="188">
        <f t="shared" si="10"/>
        <v>441648.71823934093</v>
      </c>
      <c r="E44" s="188">
        <f t="shared" si="2"/>
        <v>304377.8602478829</v>
      </c>
      <c r="F44" s="188">
        <f t="shared" si="11"/>
        <v>-2986467.0999001041</v>
      </c>
      <c r="G44" s="188">
        <f t="shared" si="12"/>
        <v>0</v>
      </c>
      <c r="H44" s="188">
        <f t="shared" si="13"/>
        <v>0</v>
      </c>
      <c r="I44" s="188">
        <f t="shared" si="14"/>
        <v>304377.8602478829</v>
      </c>
    </row>
    <row r="45" spans="1:9">
      <c r="A45" s="182">
        <v>39</v>
      </c>
      <c r="B45" s="188">
        <f t="shared" si="8"/>
        <v>-2986467.0999001041</v>
      </c>
      <c r="C45" s="188">
        <f t="shared" si="9"/>
        <v>-159866.44461361796</v>
      </c>
      <c r="D45" s="188">
        <f t="shared" si="10"/>
        <v>464244.30486150086</v>
      </c>
      <c r="E45" s="188">
        <f t="shared" si="2"/>
        <v>304377.8602478829</v>
      </c>
      <c r="F45" s="188">
        <f t="shared" si="11"/>
        <v>-3450711.404761605</v>
      </c>
      <c r="G45" s="188">
        <f t="shared" si="12"/>
        <v>0</v>
      </c>
      <c r="H45" s="188">
        <f t="shared" si="13"/>
        <v>0</v>
      </c>
      <c r="I45" s="188">
        <f t="shared" si="14"/>
        <v>304377.8602478829</v>
      </c>
    </row>
    <row r="46" spans="1:9">
      <c r="A46" s="182">
        <v>40</v>
      </c>
      <c r="B46" s="188">
        <f t="shared" si="8"/>
        <v>-3450711.404761605</v>
      </c>
      <c r="C46" s="188">
        <f t="shared" si="9"/>
        <v>-183618.06433111161</v>
      </c>
      <c r="D46" s="188">
        <f t="shared" si="10"/>
        <v>487995.92457899451</v>
      </c>
      <c r="E46" s="188">
        <f t="shared" si="2"/>
        <v>304377.8602478829</v>
      </c>
      <c r="F46" s="188">
        <f t="shared" si="11"/>
        <v>-3938707.3293405995</v>
      </c>
      <c r="G46" s="188">
        <f t="shared" si="12"/>
        <v>0</v>
      </c>
      <c r="H46" s="188">
        <f t="shared" si="13"/>
        <v>0</v>
      </c>
      <c r="I46" s="188">
        <f t="shared" si="14"/>
        <v>304377.8602478829</v>
      </c>
    </row>
    <row r="47" spans="1:9">
      <c r="A47" s="182"/>
      <c r="B47" s="188"/>
      <c r="C47" s="188"/>
      <c r="D47" s="188"/>
      <c r="E47" s="188"/>
      <c r="F47" s="188"/>
      <c r="G47" s="188"/>
      <c r="H47" s="188"/>
      <c r="I47" s="188"/>
    </row>
    <row r="48" spans="1:9">
      <c r="A48" s="182"/>
      <c r="B48" s="188"/>
      <c r="C48" s="188"/>
      <c r="D48" s="188"/>
      <c r="E48" s="188"/>
      <c r="F48" s="188"/>
      <c r="G48" s="188"/>
      <c r="H48" s="188"/>
      <c r="I48" s="188"/>
    </row>
    <row r="49" spans="1:9">
      <c r="A49" s="182"/>
      <c r="B49" s="188"/>
      <c r="C49" s="188"/>
      <c r="D49" s="188"/>
      <c r="E49" s="188"/>
      <c r="F49" s="188"/>
      <c r="G49" s="188"/>
      <c r="H49" s="188"/>
      <c r="I49" s="188"/>
    </row>
    <row r="50" spans="1:9">
      <c r="A50" s="182"/>
      <c r="B50" s="188"/>
      <c r="C50" s="188"/>
      <c r="D50" s="188"/>
      <c r="E50" s="188"/>
      <c r="F50" s="188"/>
      <c r="G50" s="188"/>
      <c r="H50" s="188"/>
      <c r="I50" s="188"/>
    </row>
    <row r="51" spans="1:9">
      <c r="A51" s="182"/>
      <c r="B51" s="188"/>
      <c r="C51" s="188"/>
      <c r="D51" s="188"/>
      <c r="E51" s="188"/>
      <c r="F51" s="223"/>
      <c r="G51" s="188"/>
      <c r="H51" s="188"/>
      <c r="I51" s="188"/>
    </row>
    <row r="52" spans="1:9">
      <c r="A52" s="182"/>
      <c r="B52" s="188"/>
      <c r="C52" s="188"/>
      <c r="D52" s="188"/>
      <c r="E52" s="188"/>
      <c r="F52" s="188"/>
      <c r="G52" s="188"/>
      <c r="H52" s="188"/>
      <c r="I52" s="188"/>
    </row>
    <row r="53" spans="1:9">
      <c r="A53" s="182"/>
      <c r="B53" s="188"/>
      <c r="C53" s="188"/>
      <c r="D53" s="188"/>
      <c r="E53" s="188"/>
      <c r="F53" s="188"/>
      <c r="G53" s="188"/>
      <c r="H53" s="188"/>
      <c r="I53" s="188"/>
    </row>
    <row r="54" spans="1:9">
      <c r="A54" s="182"/>
      <c r="B54" s="188"/>
      <c r="C54" s="188"/>
      <c r="D54" s="188"/>
      <c r="E54" s="188"/>
      <c r="F54" s="188"/>
      <c r="G54" s="188"/>
      <c r="H54" s="188"/>
      <c r="I54" s="188"/>
    </row>
    <row r="55" spans="1:9">
      <c r="A55" s="182"/>
      <c r="B55" s="188"/>
      <c r="C55" s="188"/>
      <c r="D55" s="188"/>
      <c r="E55" s="188"/>
      <c r="F55" s="188"/>
      <c r="G55" s="188"/>
      <c r="H55" s="188"/>
      <c r="I55" s="188"/>
    </row>
    <row r="56" spans="1:9">
      <c r="A56" s="182"/>
      <c r="B56" s="188"/>
      <c r="C56" s="188"/>
      <c r="D56" s="188"/>
      <c r="E56" s="188"/>
      <c r="F56" s="188"/>
      <c r="G56" s="188"/>
      <c r="H56" s="188"/>
      <c r="I56" s="188"/>
    </row>
    <row r="57" spans="1:9">
      <c r="A57" s="182"/>
      <c r="B57" s="188"/>
      <c r="C57" s="188"/>
      <c r="D57" s="188"/>
      <c r="E57" s="188"/>
      <c r="F57" s="188"/>
      <c r="G57" s="188"/>
      <c r="H57" s="188"/>
      <c r="I57" s="188"/>
    </row>
    <row r="58" spans="1:9">
      <c r="A58" s="182"/>
      <c r="B58" s="188"/>
      <c r="C58" s="188"/>
      <c r="D58" s="188"/>
      <c r="E58" s="188"/>
      <c r="F58" s="188"/>
      <c r="G58" s="188"/>
      <c r="H58" s="188"/>
      <c r="I58" s="188"/>
    </row>
    <row r="59" spans="1:9">
      <c r="A59" s="182"/>
      <c r="B59" s="188"/>
      <c r="C59" s="188"/>
      <c r="D59" s="188"/>
      <c r="E59" s="188"/>
      <c r="F59" s="188"/>
      <c r="G59" s="188"/>
      <c r="H59" s="188"/>
      <c r="I59" s="188"/>
    </row>
    <row r="60" spans="1:9">
      <c r="A60" s="182"/>
      <c r="B60" s="188"/>
      <c r="C60" s="188"/>
      <c r="D60" s="188"/>
      <c r="E60" s="188"/>
      <c r="F60" s="188"/>
      <c r="G60" s="188"/>
      <c r="H60" s="188"/>
      <c r="I60" s="188"/>
    </row>
    <row r="61" spans="1:9">
      <c r="A61" s="182"/>
      <c r="B61" s="188"/>
      <c r="C61" s="188"/>
      <c r="D61" s="188"/>
      <c r="E61" s="188"/>
      <c r="F61" s="188"/>
      <c r="G61" s="188"/>
      <c r="H61" s="188"/>
      <c r="I61" s="188"/>
    </row>
    <row r="62" spans="1:9">
      <c r="A62" s="182"/>
      <c r="B62" s="188"/>
      <c r="C62" s="188"/>
      <c r="D62" s="188"/>
      <c r="E62" s="188"/>
      <c r="F62" s="188"/>
      <c r="G62" s="188"/>
      <c r="H62" s="188"/>
      <c r="I62" s="188"/>
    </row>
    <row r="63" spans="1:9">
      <c r="A63" s="182"/>
      <c r="B63" s="188"/>
      <c r="C63" s="188"/>
      <c r="D63" s="188"/>
      <c r="E63" s="188"/>
      <c r="F63" s="188"/>
      <c r="G63" s="188"/>
      <c r="H63" s="188"/>
      <c r="I63" s="188"/>
    </row>
    <row r="64" spans="1:9">
      <c r="A64" s="182"/>
      <c r="B64" s="188"/>
      <c r="C64" s="188"/>
      <c r="D64" s="188"/>
      <c r="E64" s="188"/>
      <c r="F64" s="188"/>
      <c r="G64" s="188"/>
      <c r="H64" s="188"/>
      <c r="I64" s="188"/>
    </row>
    <row r="65" spans="1:9">
      <c r="A65" s="182"/>
      <c r="B65" s="188"/>
      <c r="C65" s="188"/>
      <c r="D65" s="188"/>
      <c r="E65" s="188"/>
      <c r="F65" s="188"/>
      <c r="G65" s="188"/>
      <c r="H65" s="188"/>
      <c r="I65" s="188"/>
    </row>
    <row r="66" spans="1:9">
      <c r="A66" s="182"/>
      <c r="B66" s="188"/>
      <c r="C66" s="188"/>
      <c r="D66" s="188"/>
      <c r="E66" s="188"/>
      <c r="F66" s="188"/>
      <c r="G66" s="188"/>
      <c r="H66" s="188"/>
      <c r="I66" s="188"/>
    </row>
    <row r="67" spans="1:9">
      <c r="A67" s="182"/>
      <c r="B67" s="188"/>
      <c r="C67" s="188"/>
      <c r="D67" s="188"/>
      <c r="E67" s="188"/>
      <c r="F67" s="188"/>
      <c r="G67" s="188"/>
      <c r="H67" s="188"/>
      <c r="I67" s="188"/>
    </row>
    <row r="68" spans="1:9">
      <c r="A68" s="182"/>
      <c r="B68" s="188"/>
      <c r="C68" s="188"/>
      <c r="D68" s="188"/>
      <c r="E68" s="188"/>
      <c r="F68" s="188"/>
      <c r="G68" s="188"/>
      <c r="H68" s="188"/>
      <c r="I68" s="188"/>
    </row>
    <row r="69" spans="1:9">
      <c r="A69" s="182"/>
      <c r="B69" s="188"/>
      <c r="C69" s="188"/>
      <c r="D69" s="188"/>
      <c r="E69" s="188"/>
      <c r="F69" s="188"/>
      <c r="G69" s="188"/>
      <c r="H69" s="188"/>
      <c r="I69" s="188"/>
    </row>
    <row r="70" spans="1:9">
      <c r="A70" s="182"/>
      <c r="B70" s="188"/>
      <c r="C70" s="188"/>
      <c r="D70" s="188"/>
      <c r="E70" s="188"/>
      <c r="F70" s="188"/>
      <c r="G70" s="188"/>
      <c r="H70" s="188"/>
      <c r="I70" s="188"/>
    </row>
    <row r="71" spans="1:9">
      <c r="A71" s="182"/>
      <c r="B71" s="188"/>
      <c r="C71" s="188"/>
      <c r="D71" s="188"/>
      <c r="E71" s="188"/>
      <c r="F71" s="188"/>
      <c r="G71" s="188"/>
      <c r="H71" s="188"/>
      <c r="I71" s="188"/>
    </row>
    <row r="72" spans="1:9">
      <c r="A72" s="182"/>
      <c r="B72" s="188"/>
      <c r="C72" s="188"/>
      <c r="D72" s="188"/>
      <c r="E72" s="188"/>
      <c r="F72" s="188"/>
      <c r="G72" s="188"/>
      <c r="H72" s="188"/>
      <c r="I72" s="188"/>
    </row>
    <row r="73" spans="1:9">
      <c r="A73" s="182"/>
      <c r="B73" s="188"/>
      <c r="C73" s="188"/>
      <c r="D73" s="188"/>
      <c r="E73" s="188"/>
      <c r="F73" s="188"/>
      <c r="G73" s="188"/>
      <c r="H73" s="188"/>
      <c r="I73" s="188"/>
    </row>
    <row r="74" spans="1:9">
      <c r="A74" s="182"/>
      <c r="B74" s="188"/>
      <c r="C74" s="188"/>
      <c r="D74" s="188"/>
      <c r="E74" s="188"/>
      <c r="F74" s="188"/>
      <c r="G74" s="188"/>
      <c r="H74" s="188"/>
      <c r="I74" s="188"/>
    </row>
    <row r="75" spans="1:9">
      <c r="A75" s="182"/>
      <c r="B75" s="188"/>
      <c r="C75" s="188"/>
      <c r="D75" s="188"/>
      <c r="E75" s="188"/>
      <c r="F75" s="188"/>
      <c r="G75" s="188"/>
      <c r="H75" s="188"/>
      <c r="I75" s="188"/>
    </row>
    <row r="76" spans="1:9">
      <c r="A76" s="182"/>
      <c r="B76" s="188"/>
      <c r="C76" s="188"/>
      <c r="D76" s="188"/>
      <c r="E76" s="188"/>
      <c r="F76" s="188"/>
      <c r="G76" s="188"/>
      <c r="H76" s="188"/>
      <c r="I76" s="188"/>
    </row>
    <row r="77" spans="1:9">
      <c r="A77" s="182"/>
      <c r="B77" s="188"/>
      <c r="C77" s="188"/>
      <c r="D77" s="188"/>
      <c r="E77" s="188"/>
      <c r="F77" s="188"/>
      <c r="G77" s="188"/>
      <c r="H77" s="188"/>
      <c r="I77" s="188"/>
    </row>
    <row r="78" spans="1:9">
      <c r="A78" s="182"/>
      <c r="B78" s="188"/>
      <c r="C78" s="188"/>
      <c r="D78" s="188"/>
      <c r="E78" s="188"/>
      <c r="F78" s="188"/>
      <c r="G78" s="188"/>
      <c r="H78" s="188"/>
      <c r="I78" s="188"/>
    </row>
    <row r="79" spans="1:9">
      <c r="A79" s="182"/>
      <c r="B79" s="188"/>
      <c r="C79" s="188"/>
      <c r="D79" s="188"/>
      <c r="E79" s="188"/>
      <c r="F79" s="188"/>
      <c r="G79" s="188"/>
      <c r="H79" s="188"/>
      <c r="I79" s="188"/>
    </row>
    <row r="80" spans="1:9">
      <c r="A80" s="182"/>
      <c r="B80" s="188"/>
      <c r="C80" s="188"/>
      <c r="D80" s="188"/>
      <c r="E80" s="188"/>
      <c r="F80" s="188"/>
      <c r="G80" s="188"/>
      <c r="H80" s="188"/>
      <c r="I80" s="188"/>
    </row>
    <row r="81" spans="1:9">
      <c r="A81" s="182"/>
      <c r="B81" s="188"/>
      <c r="C81" s="188"/>
      <c r="D81" s="188"/>
      <c r="E81" s="188"/>
      <c r="F81" s="188"/>
      <c r="G81" s="188"/>
      <c r="H81" s="188"/>
      <c r="I81" s="188"/>
    </row>
    <row r="82" spans="1:9">
      <c r="A82" s="182"/>
      <c r="B82" s="188"/>
      <c r="C82" s="188"/>
      <c r="D82" s="188"/>
      <c r="E82" s="188"/>
      <c r="F82" s="188"/>
      <c r="G82" s="188"/>
      <c r="H82" s="188"/>
      <c r="I82" s="188"/>
    </row>
    <row r="83" spans="1:9">
      <c r="A83" s="182"/>
      <c r="B83" s="188"/>
      <c r="C83" s="188"/>
      <c r="D83" s="188"/>
      <c r="E83" s="188"/>
      <c r="F83" s="188"/>
      <c r="G83" s="188"/>
      <c r="H83" s="188"/>
      <c r="I83" s="188"/>
    </row>
    <row r="84" spans="1:9">
      <c r="A84" s="182"/>
      <c r="B84" s="188"/>
      <c r="C84" s="188"/>
      <c r="D84" s="188"/>
      <c r="E84" s="188"/>
      <c r="F84" s="188"/>
      <c r="G84" s="188"/>
      <c r="H84" s="188"/>
      <c r="I84" s="188"/>
    </row>
    <row r="85" spans="1:9">
      <c r="A85" s="182"/>
      <c r="B85" s="188"/>
      <c r="C85" s="188"/>
      <c r="D85" s="188"/>
      <c r="E85" s="188"/>
      <c r="F85" s="188"/>
      <c r="G85" s="188"/>
      <c r="H85" s="188"/>
      <c r="I85" s="188"/>
    </row>
    <row r="86" spans="1:9">
      <c r="A86" s="182"/>
      <c r="B86" s="188"/>
      <c r="C86" s="188"/>
      <c r="D86" s="188"/>
      <c r="E86" s="188"/>
      <c r="F86" s="188"/>
      <c r="G86" s="188"/>
      <c r="H86" s="188"/>
      <c r="I86" s="188"/>
    </row>
    <row r="87" spans="1:9">
      <c r="A87" s="182"/>
      <c r="B87" s="188"/>
      <c r="C87" s="188"/>
      <c r="D87" s="188"/>
      <c r="E87" s="188"/>
      <c r="F87" s="188"/>
      <c r="G87" s="188"/>
      <c r="H87" s="188"/>
      <c r="I87" s="188"/>
    </row>
    <row r="88" spans="1:9">
      <c r="A88" s="182"/>
      <c r="B88" s="188"/>
      <c r="C88" s="188"/>
      <c r="D88" s="188"/>
      <c r="E88" s="188"/>
      <c r="F88" s="188"/>
      <c r="G88" s="188"/>
      <c r="H88" s="188"/>
      <c r="I88" s="188"/>
    </row>
    <row r="89" spans="1:9">
      <c r="A89" s="182"/>
      <c r="B89" s="188"/>
      <c r="C89" s="188"/>
      <c r="D89" s="188"/>
      <c r="E89" s="188"/>
      <c r="F89" s="188"/>
      <c r="G89" s="188"/>
      <c r="H89" s="188"/>
      <c r="I89" s="188"/>
    </row>
    <row r="90" spans="1:9">
      <c r="A90" s="182"/>
      <c r="B90" s="188"/>
      <c r="C90" s="188"/>
      <c r="D90" s="188"/>
      <c r="E90" s="188"/>
      <c r="F90" s="188"/>
      <c r="G90" s="188"/>
      <c r="H90" s="188"/>
      <c r="I90" s="188"/>
    </row>
    <row r="91" spans="1:9">
      <c r="A91" s="182"/>
      <c r="B91" s="188"/>
      <c r="C91" s="188"/>
      <c r="D91" s="188"/>
      <c r="E91" s="188"/>
      <c r="F91" s="188"/>
      <c r="G91" s="188"/>
      <c r="H91" s="188"/>
      <c r="I91" s="188"/>
    </row>
    <row r="92" spans="1:9">
      <c r="A92" s="182"/>
      <c r="B92" s="188"/>
      <c r="C92" s="188"/>
      <c r="D92" s="188"/>
      <c r="E92" s="188"/>
      <c r="F92" s="188"/>
      <c r="G92" s="188"/>
      <c r="H92" s="188"/>
      <c r="I92" s="188"/>
    </row>
    <row r="93" spans="1:9">
      <c r="A93" s="182"/>
      <c r="B93" s="188"/>
      <c r="C93" s="188"/>
      <c r="D93" s="188"/>
      <c r="E93" s="188"/>
      <c r="F93" s="188"/>
      <c r="G93" s="188"/>
      <c r="H93" s="188"/>
      <c r="I93" s="188"/>
    </row>
    <row r="94" spans="1:9">
      <c r="A94" s="182"/>
      <c r="B94" s="188"/>
      <c r="C94" s="188"/>
      <c r="D94" s="188"/>
      <c r="E94" s="188"/>
      <c r="F94" s="188"/>
      <c r="G94" s="188"/>
      <c r="H94" s="188"/>
      <c r="I94" s="188"/>
    </row>
    <row r="95" spans="1:9">
      <c r="A95" s="182"/>
      <c r="B95" s="188"/>
      <c r="C95" s="188"/>
      <c r="D95" s="188"/>
      <c r="E95" s="188"/>
      <c r="F95" s="188"/>
      <c r="G95" s="188"/>
      <c r="H95" s="188"/>
      <c r="I95" s="188"/>
    </row>
    <row r="96" spans="1:9">
      <c r="A96" s="182"/>
      <c r="B96" s="188"/>
      <c r="C96" s="188"/>
      <c r="D96" s="188"/>
      <c r="E96" s="188"/>
      <c r="F96" s="188"/>
      <c r="G96" s="188"/>
      <c r="H96" s="188"/>
      <c r="I96" s="188"/>
    </row>
    <row r="97" spans="1:9">
      <c r="A97" s="182"/>
      <c r="B97" s="188"/>
      <c r="C97" s="188"/>
      <c r="D97" s="188"/>
      <c r="E97" s="188"/>
      <c r="F97" s="188"/>
      <c r="G97" s="188"/>
      <c r="H97" s="188"/>
      <c r="I97" s="188"/>
    </row>
    <row r="98" spans="1:9">
      <c r="A98" s="182"/>
      <c r="B98" s="188"/>
      <c r="C98" s="188"/>
      <c r="D98" s="188"/>
      <c r="E98" s="188"/>
      <c r="F98" s="188"/>
      <c r="G98" s="188"/>
      <c r="H98" s="188"/>
      <c r="I98" s="188"/>
    </row>
    <row r="99" spans="1:9">
      <c r="A99" s="182"/>
      <c r="B99" s="188"/>
      <c r="C99" s="188"/>
      <c r="D99" s="188"/>
      <c r="E99" s="188"/>
      <c r="F99" s="188"/>
      <c r="G99" s="188"/>
      <c r="H99" s="188"/>
      <c r="I99" s="188"/>
    </row>
    <row r="100" spans="1:9">
      <c r="A100" s="182"/>
      <c r="B100" s="188"/>
      <c r="C100" s="188"/>
      <c r="D100" s="188"/>
      <c r="E100" s="188"/>
      <c r="F100" s="188"/>
      <c r="G100" s="188"/>
      <c r="H100" s="188"/>
      <c r="I100" s="188"/>
    </row>
    <row r="101" spans="1:9">
      <c r="A101" s="182"/>
      <c r="B101" s="188"/>
      <c r="C101" s="188"/>
      <c r="D101" s="188"/>
      <c r="E101" s="188"/>
      <c r="F101" s="188"/>
      <c r="G101" s="188"/>
      <c r="H101" s="188"/>
      <c r="I101" s="188"/>
    </row>
    <row r="102" spans="1:9">
      <c r="A102" s="182"/>
      <c r="B102" s="188"/>
      <c r="C102" s="188"/>
      <c r="D102" s="188"/>
      <c r="E102" s="188"/>
      <c r="F102" s="188"/>
      <c r="G102" s="188"/>
      <c r="H102" s="188"/>
      <c r="I102" s="188"/>
    </row>
    <row r="103" spans="1:9">
      <c r="A103" s="182"/>
      <c r="B103" s="188"/>
      <c r="C103" s="188"/>
      <c r="D103" s="188"/>
      <c r="E103" s="188"/>
      <c r="F103" s="188"/>
      <c r="G103" s="188"/>
      <c r="H103" s="188"/>
      <c r="I103" s="188"/>
    </row>
    <row r="104" spans="1:9">
      <c r="A104" s="182"/>
      <c r="B104" s="188"/>
      <c r="C104" s="188"/>
      <c r="D104" s="188"/>
      <c r="E104" s="188"/>
      <c r="F104" s="188"/>
      <c r="G104" s="188"/>
      <c r="H104" s="188"/>
      <c r="I104" s="188"/>
    </row>
    <row r="105" spans="1:9">
      <c r="A105" s="182"/>
      <c r="B105" s="188"/>
      <c r="C105" s="188"/>
      <c r="D105" s="188"/>
      <c r="E105" s="188"/>
      <c r="F105" s="188"/>
      <c r="G105" s="188"/>
      <c r="H105" s="188"/>
      <c r="I105" s="188"/>
    </row>
    <row r="106" spans="1:9">
      <c r="A106" s="182"/>
      <c r="B106" s="188"/>
      <c r="C106" s="188"/>
      <c r="D106" s="188"/>
      <c r="E106" s="188"/>
      <c r="F106" s="188"/>
      <c r="G106" s="188"/>
      <c r="H106" s="188"/>
      <c r="I106" s="188"/>
    </row>
    <row r="107" spans="1:9">
      <c r="A107" s="182"/>
      <c r="B107" s="188"/>
      <c r="C107" s="188"/>
      <c r="D107" s="188"/>
      <c r="E107" s="188"/>
      <c r="F107" s="188"/>
      <c r="G107" s="188"/>
      <c r="H107" s="188"/>
      <c r="I107" s="188"/>
    </row>
    <row r="108" spans="1:9">
      <c r="A108" s="182"/>
      <c r="B108" s="188"/>
      <c r="C108" s="188"/>
      <c r="D108" s="188"/>
      <c r="E108" s="188"/>
      <c r="F108" s="188"/>
      <c r="G108" s="188"/>
      <c r="H108" s="188"/>
      <c r="I108" s="188"/>
    </row>
    <row r="109" spans="1:9">
      <c r="A109" s="182"/>
      <c r="B109" s="188"/>
      <c r="C109" s="188"/>
      <c r="D109" s="188"/>
      <c r="E109" s="188"/>
      <c r="F109" s="188"/>
      <c r="G109" s="188"/>
      <c r="H109" s="188"/>
      <c r="I109" s="188"/>
    </row>
    <row r="110" spans="1:9">
      <c r="A110" s="182"/>
      <c r="B110" s="188"/>
      <c r="C110" s="188"/>
      <c r="D110" s="188"/>
      <c r="E110" s="188"/>
      <c r="F110" s="188"/>
      <c r="G110" s="188"/>
      <c r="H110" s="188"/>
      <c r="I110" s="188"/>
    </row>
    <row r="111" spans="1:9">
      <c r="A111" s="182"/>
      <c r="B111" s="188"/>
      <c r="C111" s="188"/>
      <c r="D111" s="188"/>
      <c r="E111" s="188"/>
      <c r="F111" s="188"/>
      <c r="G111" s="188"/>
      <c r="H111" s="188"/>
      <c r="I111" s="188"/>
    </row>
    <row r="112" spans="1:9">
      <c r="A112" s="182"/>
      <c r="B112" s="188"/>
      <c r="C112" s="188"/>
      <c r="D112" s="188"/>
      <c r="E112" s="188"/>
      <c r="F112" s="188"/>
      <c r="G112" s="188"/>
      <c r="H112" s="188"/>
      <c r="I112" s="188"/>
    </row>
    <row r="113" spans="1:9">
      <c r="A113" s="182"/>
      <c r="B113" s="188"/>
      <c r="C113" s="188"/>
      <c r="D113" s="188"/>
      <c r="E113" s="188"/>
      <c r="F113" s="188"/>
      <c r="G113" s="188"/>
      <c r="H113" s="188"/>
      <c r="I113" s="188"/>
    </row>
    <row r="114" spans="1:9">
      <c r="A114" s="182"/>
      <c r="B114" s="188"/>
      <c r="C114" s="188"/>
      <c r="D114" s="188"/>
      <c r="E114" s="188"/>
      <c r="F114" s="188"/>
      <c r="G114" s="188"/>
      <c r="H114" s="188"/>
      <c r="I114" s="188"/>
    </row>
    <row r="115" spans="1:9">
      <c r="A115" s="182"/>
      <c r="B115" s="188"/>
      <c r="C115" s="188"/>
      <c r="D115" s="188"/>
      <c r="E115" s="188"/>
      <c r="F115" s="188"/>
      <c r="G115" s="188"/>
      <c r="H115" s="188"/>
      <c r="I115" s="188"/>
    </row>
    <row r="116" spans="1:9">
      <c r="A116" s="182"/>
      <c r="B116" s="188"/>
      <c r="C116" s="188"/>
      <c r="D116" s="188"/>
      <c r="E116" s="188"/>
      <c r="F116" s="188"/>
      <c r="G116" s="188"/>
      <c r="H116" s="188"/>
      <c r="I116" s="188"/>
    </row>
    <row r="117" spans="1:9">
      <c r="A117" s="182"/>
      <c r="B117" s="188"/>
      <c r="C117" s="188"/>
      <c r="D117" s="188"/>
      <c r="E117" s="188"/>
      <c r="F117" s="188"/>
      <c r="G117" s="188"/>
      <c r="H117" s="188"/>
      <c r="I117" s="188"/>
    </row>
    <row r="118" spans="1:9">
      <c r="A118" s="182"/>
      <c r="B118" s="188"/>
      <c r="C118" s="188"/>
      <c r="D118" s="188"/>
      <c r="E118" s="188"/>
      <c r="F118" s="188"/>
      <c r="G118" s="188"/>
      <c r="H118" s="188"/>
      <c r="I118" s="188"/>
    </row>
    <row r="119" spans="1:9">
      <c r="A119" s="182"/>
      <c r="B119" s="188"/>
      <c r="C119" s="188"/>
      <c r="D119" s="188"/>
      <c r="E119" s="188"/>
      <c r="F119" s="188"/>
      <c r="G119" s="188"/>
      <c r="H119" s="188"/>
      <c r="I119" s="188"/>
    </row>
    <row r="120" spans="1:9">
      <c r="A120" s="182"/>
      <c r="B120" s="188"/>
      <c r="C120" s="188"/>
      <c r="D120" s="188"/>
      <c r="E120" s="188"/>
      <c r="F120" s="188"/>
      <c r="G120" s="188"/>
      <c r="H120" s="188"/>
      <c r="I120" s="188"/>
    </row>
    <row r="121" spans="1:9">
      <c r="A121" s="182"/>
      <c r="B121" s="188"/>
      <c r="C121" s="188"/>
      <c r="D121" s="188"/>
      <c r="E121" s="188"/>
      <c r="F121" s="188"/>
      <c r="G121" s="188"/>
      <c r="H121" s="188"/>
      <c r="I121" s="188"/>
    </row>
    <row r="122" spans="1:9">
      <c r="A122" s="182"/>
      <c r="B122" s="188"/>
      <c r="C122" s="188"/>
      <c r="D122" s="188"/>
      <c r="E122" s="188"/>
      <c r="F122" s="188"/>
      <c r="G122" s="188"/>
      <c r="H122" s="188"/>
      <c r="I122" s="188"/>
    </row>
    <row r="123" spans="1:9">
      <c r="A123" s="182"/>
      <c r="B123" s="188"/>
      <c r="C123" s="188"/>
      <c r="D123" s="188"/>
      <c r="E123" s="188"/>
      <c r="F123" s="188"/>
      <c r="G123" s="188"/>
      <c r="H123" s="188"/>
      <c r="I123" s="188"/>
    </row>
    <row r="124" spans="1:9">
      <c r="A124" s="182"/>
      <c r="B124" s="188"/>
      <c r="C124" s="188"/>
      <c r="D124" s="188"/>
      <c r="E124" s="188"/>
      <c r="F124" s="188"/>
      <c r="G124" s="188"/>
      <c r="H124" s="188"/>
      <c r="I124" s="188"/>
    </row>
    <row r="125" spans="1:9">
      <c r="A125" s="182"/>
      <c r="B125" s="188"/>
      <c r="C125" s="188"/>
      <c r="D125" s="188"/>
      <c r="E125" s="188"/>
      <c r="F125" s="188"/>
      <c r="G125" s="188"/>
      <c r="H125" s="188"/>
      <c r="I125" s="188"/>
    </row>
    <row r="126" spans="1:9">
      <c r="A126" s="182"/>
      <c r="B126" s="188"/>
      <c r="C126" s="188"/>
      <c r="D126" s="188"/>
      <c r="E126" s="188"/>
      <c r="F126" s="188"/>
      <c r="G126" s="188"/>
      <c r="H126" s="188"/>
      <c r="I126" s="188"/>
    </row>
    <row r="127" spans="1:9">
      <c r="A127" s="182"/>
      <c r="B127" s="188"/>
      <c r="C127" s="188"/>
      <c r="D127" s="188"/>
      <c r="E127" s="188"/>
      <c r="F127" s="188"/>
      <c r="G127" s="188"/>
      <c r="H127" s="188"/>
      <c r="I127" s="188"/>
    </row>
    <row r="128" spans="1:9">
      <c r="A128" s="182"/>
      <c r="B128" s="188"/>
      <c r="C128" s="188"/>
      <c r="D128" s="188"/>
      <c r="E128" s="188"/>
      <c r="F128" s="188"/>
      <c r="G128" s="188"/>
      <c r="H128" s="188"/>
      <c r="I128" s="188"/>
    </row>
    <row r="129" spans="1:9">
      <c r="A129" s="182"/>
      <c r="B129" s="188"/>
      <c r="C129" s="188"/>
      <c r="D129" s="188"/>
      <c r="E129" s="188"/>
      <c r="F129" s="188"/>
      <c r="G129" s="188"/>
      <c r="H129" s="188"/>
      <c r="I129" s="188"/>
    </row>
    <row r="130" spans="1:9">
      <c r="A130" s="182"/>
      <c r="B130" s="188"/>
      <c r="C130" s="188"/>
      <c r="D130" s="188"/>
      <c r="E130" s="188"/>
      <c r="F130" s="188"/>
      <c r="G130" s="188"/>
      <c r="H130" s="188"/>
      <c r="I130" s="188"/>
    </row>
    <row r="131" spans="1:9">
      <c r="A131" s="182"/>
      <c r="B131" s="188"/>
      <c r="C131" s="188"/>
      <c r="D131" s="188"/>
      <c r="E131" s="188"/>
      <c r="F131" s="188"/>
      <c r="G131" s="188"/>
      <c r="H131" s="188"/>
      <c r="I131" s="188"/>
    </row>
    <row r="132" spans="1:9">
      <c r="A132" s="182"/>
      <c r="B132" s="188"/>
      <c r="C132" s="188"/>
      <c r="D132" s="188"/>
      <c r="E132" s="188"/>
      <c r="F132" s="188"/>
      <c r="G132" s="188"/>
      <c r="H132" s="188"/>
      <c r="I132" s="188"/>
    </row>
    <row r="133" spans="1:9">
      <c r="A133" s="182"/>
      <c r="B133" s="188"/>
      <c r="C133" s="188"/>
      <c r="D133" s="188"/>
      <c r="E133" s="188"/>
      <c r="F133" s="188"/>
      <c r="G133" s="188"/>
      <c r="H133" s="188"/>
      <c r="I133" s="188"/>
    </row>
    <row r="134" spans="1:9">
      <c r="A134" s="182"/>
      <c r="B134" s="188"/>
      <c r="C134" s="188"/>
      <c r="D134" s="188"/>
      <c r="E134" s="188"/>
      <c r="F134" s="188"/>
      <c r="G134" s="188"/>
      <c r="H134" s="188"/>
      <c r="I134" s="188"/>
    </row>
    <row r="135" spans="1:9">
      <c r="A135" s="182"/>
      <c r="B135" s="188"/>
      <c r="C135" s="188"/>
      <c r="D135" s="188"/>
      <c r="E135" s="188"/>
      <c r="F135" s="188"/>
      <c r="G135" s="188"/>
      <c r="H135" s="188"/>
      <c r="I135" s="188"/>
    </row>
    <row r="136" spans="1:9">
      <c r="A136" s="182"/>
      <c r="B136" s="188"/>
      <c r="C136" s="188"/>
      <c r="D136" s="188"/>
      <c r="E136" s="188"/>
      <c r="F136" s="188"/>
      <c r="G136" s="188"/>
      <c r="H136" s="188"/>
      <c r="I136" s="188"/>
    </row>
    <row r="137" spans="1:9">
      <c r="A137" s="182"/>
      <c r="B137" s="188"/>
      <c r="C137" s="188"/>
      <c r="D137" s="188"/>
      <c r="E137" s="188"/>
      <c r="F137" s="188"/>
      <c r="G137" s="188"/>
      <c r="H137" s="188"/>
      <c r="I137" s="188"/>
    </row>
    <row r="138" spans="1:9">
      <c r="A138" s="182"/>
      <c r="B138" s="188"/>
      <c r="C138" s="188"/>
      <c r="D138" s="188"/>
      <c r="E138" s="188"/>
      <c r="F138" s="188"/>
      <c r="G138" s="188"/>
      <c r="H138" s="188"/>
      <c r="I138" s="188"/>
    </row>
    <row r="139" spans="1:9">
      <c r="A139" s="182"/>
      <c r="B139" s="188"/>
      <c r="C139" s="188"/>
      <c r="D139" s="188"/>
      <c r="E139" s="188"/>
      <c r="F139" s="188"/>
      <c r="G139" s="188"/>
      <c r="H139" s="188"/>
      <c r="I139" s="188"/>
    </row>
    <row r="140" spans="1:9">
      <c r="A140" s="182"/>
      <c r="B140" s="188"/>
      <c r="C140" s="188"/>
      <c r="D140" s="188"/>
      <c r="E140" s="188"/>
      <c r="F140" s="188"/>
      <c r="G140" s="188"/>
      <c r="H140" s="188"/>
      <c r="I140" s="188"/>
    </row>
    <row r="141" spans="1:9">
      <c r="A141" s="182"/>
      <c r="B141" s="188"/>
      <c r="C141" s="188"/>
      <c r="D141" s="188"/>
      <c r="E141" s="188"/>
      <c r="F141" s="188"/>
      <c r="G141" s="188"/>
      <c r="H141" s="188"/>
      <c r="I141" s="188"/>
    </row>
    <row r="142" spans="1:9">
      <c r="A142" s="182"/>
      <c r="B142" s="188"/>
      <c r="C142" s="188"/>
      <c r="D142" s="188"/>
      <c r="E142" s="188"/>
      <c r="F142" s="188"/>
      <c r="G142" s="188"/>
      <c r="H142" s="188"/>
      <c r="I142" s="188"/>
    </row>
    <row r="143" spans="1:9">
      <c r="A143" s="182"/>
      <c r="B143" s="188"/>
      <c r="C143" s="188"/>
      <c r="D143" s="188"/>
      <c r="E143" s="188"/>
      <c r="F143" s="188"/>
      <c r="G143" s="188"/>
      <c r="H143" s="188"/>
      <c r="I143" s="188"/>
    </row>
    <row r="144" spans="1:9">
      <c r="A144" s="182"/>
      <c r="B144" s="188"/>
      <c r="C144" s="188"/>
      <c r="D144" s="188"/>
      <c r="E144" s="188"/>
      <c r="F144" s="188"/>
      <c r="G144" s="188"/>
      <c r="H144" s="188"/>
      <c r="I144" s="188"/>
    </row>
    <row r="145" spans="1:9">
      <c r="A145" s="182"/>
      <c r="B145" s="188"/>
      <c r="C145" s="188"/>
      <c r="D145" s="188"/>
      <c r="E145" s="188"/>
      <c r="F145" s="188"/>
      <c r="G145" s="188"/>
      <c r="H145" s="188"/>
      <c r="I145" s="188"/>
    </row>
    <row r="146" spans="1:9">
      <c r="A146" s="182"/>
      <c r="B146" s="188"/>
      <c r="C146" s="188"/>
      <c r="D146" s="188"/>
      <c r="E146" s="188"/>
      <c r="F146" s="188"/>
      <c r="G146" s="188"/>
      <c r="H146" s="188"/>
      <c r="I146" s="188"/>
    </row>
    <row r="147" spans="1:9">
      <c r="A147" s="182"/>
      <c r="B147" s="188"/>
      <c r="C147" s="188"/>
      <c r="D147" s="188"/>
      <c r="E147" s="188"/>
      <c r="F147" s="188"/>
      <c r="G147" s="188"/>
      <c r="H147" s="188"/>
      <c r="I147" s="188"/>
    </row>
    <row r="148" spans="1:9">
      <c r="A148" s="182"/>
      <c r="B148" s="188"/>
      <c r="C148" s="188"/>
      <c r="D148" s="188"/>
      <c r="E148" s="188"/>
      <c r="F148" s="188"/>
      <c r="G148" s="188"/>
      <c r="H148" s="188"/>
      <c r="I148" s="188"/>
    </row>
    <row r="149" spans="1:9">
      <c r="A149" s="182"/>
      <c r="B149" s="188"/>
      <c r="C149" s="188"/>
      <c r="D149" s="188"/>
      <c r="E149" s="188"/>
      <c r="F149" s="188"/>
      <c r="G149" s="188"/>
      <c r="H149" s="188"/>
      <c r="I149" s="188"/>
    </row>
    <row r="150" spans="1:9">
      <c r="A150" s="182"/>
      <c r="B150" s="188"/>
      <c r="C150" s="188"/>
      <c r="D150" s="188"/>
      <c r="E150" s="188"/>
      <c r="F150" s="188"/>
      <c r="G150" s="188"/>
      <c r="H150" s="188"/>
      <c r="I150" s="188"/>
    </row>
    <row r="151" spans="1:9">
      <c r="A151" s="182"/>
      <c r="B151" s="188"/>
      <c r="C151" s="188"/>
      <c r="D151" s="188"/>
      <c r="E151" s="188"/>
      <c r="F151" s="188"/>
      <c r="G151" s="188"/>
      <c r="H151" s="188"/>
      <c r="I151" s="188"/>
    </row>
    <row r="152" spans="1:9">
      <c r="A152" s="182"/>
      <c r="B152" s="188"/>
      <c r="C152" s="188"/>
      <c r="D152" s="188"/>
      <c r="E152" s="188"/>
      <c r="F152" s="188"/>
      <c r="G152" s="188"/>
      <c r="H152" s="188"/>
      <c r="I152" s="188"/>
    </row>
    <row r="153" spans="1:9">
      <c r="A153" s="182"/>
      <c r="B153" s="188"/>
      <c r="C153" s="188"/>
      <c r="D153" s="188"/>
      <c r="E153" s="188"/>
      <c r="F153" s="188"/>
      <c r="G153" s="188"/>
      <c r="H153" s="188"/>
      <c r="I153" s="188"/>
    </row>
    <row r="154" spans="1:9">
      <c r="A154" s="182"/>
      <c r="B154" s="188"/>
      <c r="C154" s="188"/>
      <c r="D154" s="188"/>
      <c r="E154" s="188"/>
      <c r="F154" s="188"/>
      <c r="G154" s="188"/>
      <c r="H154" s="188"/>
      <c r="I154" s="188"/>
    </row>
    <row r="155" spans="1:9">
      <c r="A155" s="182"/>
      <c r="B155" s="188"/>
      <c r="C155" s="188"/>
      <c r="D155" s="188"/>
      <c r="E155" s="188"/>
      <c r="F155" s="188"/>
      <c r="G155" s="188"/>
      <c r="H155" s="188"/>
      <c r="I155" s="188"/>
    </row>
    <row r="156" spans="1:9">
      <c r="A156" s="182"/>
      <c r="B156" s="188"/>
      <c r="C156" s="188"/>
      <c r="D156" s="188"/>
      <c r="E156" s="188"/>
      <c r="F156" s="188"/>
      <c r="G156" s="188"/>
      <c r="H156" s="188"/>
      <c r="I156" s="188"/>
    </row>
    <row r="157" spans="1:9">
      <c r="A157" s="182"/>
      <c r="B157" s="188"/>
      <c r="C157" s="188"/>
      <c r="D157" s="188"/>
      <c r="E157" s="188"/>
      <c r="F157" s="188"/>
      <c r="G157" s="188"/>
      <c r="H157" s="188"/>
      <c r="I157" s="188"/>
    </row>
    <row r="158" spans="1:9">
      <c r="A158" s="182"/>
      <c r="B158" s="188"/>
      <c r="C158" s="188"/>
      <c r="D158" s="188"/>
      <c r="E158" s="188"/>
      <c r="F158" s="188"/>
      <c r="G158" s="188"/>
      <c r="H158" s="188"/>
      <c r="I158" s="188"/>
    </row>
    <row r="159" spans="1:9">
      <c r="A159" s="182"/>
      <c r="B159" s="188"/>
      <c r="C159" s="188"/>
      <c r="D159" s="188"/>
      <c r="E159" s="188"/>
      <c r="F159" s="188"/>
      <c r="G159" s="188"/>
      <c r="H159" s="188"/>
      <c r="I159" s="188"/>
    </row>
    <row r="160" spans="1:9">
      <c r="A160" s="182"/>
      <c r="B160" s="188"/>
      <c r="C160" s="188"/>
      <c r="D160" s="188"/>
      <c r="E160" s="188"/>
      <c r="F160" s="188"/>
      <c r="G160" s="188"/>
      <c r="H160" s="188"/>
      <c r="I160" s="188"/>
    </row>
    <row r="161" spans="1:9">
      <c r="A161" s="182"/>
      <c r="B161" s="188"/>
      <c r="C161" s="188"/>
      <c r="D161" s="188"/>
      <c r="E161" s="188"/>
      <c r="F161" s="188"/>
      <c r="G161" s="188"/>
      <c r="H161" s="188"/>
      <c r="I161" s="188"/>
    </row>
    <row r="162" spans="1:9">
      <c r="A162" s="182"/>
      <c r="B162" s="188"/>
      <c r="C162" s="188"/>
      <c r="D162" s="188"/>
      <c r="E162" s="188"/>
      <c r="F162" s="188"/>
      <c r="G162" s="188"/>
      <c r="H162" s="188"/>
      <c r="I162" s="188"/>
    </row>
    <row r="163" spans="1:9">
      <c r="A163" s="182"/>
      <c r="B163" s="188"/>
      <c r="C163" s="188"/>
      <c r="D163" s="188"/>
      <c r="E163" s="188"/>
      <c r="F163" s="188"/>
      <c r="G163" s="188"/>
      <c r="H163" s="188"/>
      <c r="I163" s="188"/>
    </row>
    <row r="164" spans="1:9">
      <c r="A164" s="182"/>
      <c r="B164" s="188"/>
      <c r="C164" s="188"/>
      <c r="D164" s="188"/>
      <c r="E164" s="188"/>
      <c r="F164" s="188"/>
      <c r="G164" s="188"/>
      <c r="H164" s="188"/>
      <c r="I164" s="188"/>
    </row>
    <row r="165" spans="1:9">
      <c r="A165" s="182"/>
      <c r="B165" s="188"/>
      <c r="C165" s="188"/>
      <c r="D165" s="188"/>
      <c r="E165" s="188"/>
      <c r="F165" s="188"/>
      <c r="G165" s="188"/>
      <c r="H165" s="188"/>
      <c r="I165" s="188"/>
    </row>
    <row r="166" spans="1:9">
      <c r="A166" s="182"/>
      <c r="B166" s="188"/>
      <c r="C166" s="188"/>
      <c r="D166" s="188"/>
      <c r="E166" s="188"/>
      <c r="F166" s="188"/>
      <c r="G166" s="188"/>
      <c r="H166" s="188"/>
      <c r="I166" s="188"/>
    </row>
    <row r="167" spans="1:9">
      <c r="A167" s="182"/>
      <c r="B167" s="188"/>
      <c r="C167" s="188"/>
      <c r="D167" s="188"/>
      <c r="E167" s="188"/>
      <c r="F167" s="188"/>
      <c r="G167" s="188"/>
      <c r="H167" s="188"/>
      <c r="I167" s="188"/>
    </row>
    <row r="168" spans="1:9">
      <c r="A168" s="182"/>
      <c r="B168" s="188"/>
      <c r="C168" s="188"/>
      <c r="D168" s="188"/>
      <c r="E168" s="188"/>
      <c r="F168" s="188"/>
      <c r="G168" s="188"/>
      <c r="H168" s="188"/>
      <c r="I168" s="188"/>
    </row>
    <row r="169" spans="1:9">
      <c r="A169" s="182"/>
      <c r="B169" s="188"/>
      <c r="C169" s="188"/>
      <c r="D169" s="188"/>
      <c r="E169" s="188"/>
      <c r="F169" s="188"/>
      <c r="G169" s="188"/>
      <c r="H169" s="188"/>
      <c r="I169" s="188"/>
    </row>
    <row r="170" spans="1:9">
      <c r="A170" s="182"/>
      <c r="B170" s="188"/>
      <c r="C170" s="188"/>
      <c r="D170" s="188"/>
      <c r="E170" s="188"/>
      <c r="F170" s="188"/>
      <c r="G170" s="188"/>
      <c r="H170" s="188"/>
      <c r="I170" s="188"/>
    </row>
    <row r="171" spans="1:9">
      <c r="A171" s="182"/>
      <c r="B171" s="188"/>
      <c r="C171" s="188"/>
      <c r="D171" s="188"/>
      <c r="E171" s="188"/>
      <c r="F171" s="188"/>
      <c r="G171" s="188"/>
      <c r="H171" s="188"/>
      <c r="I171" s="188"/>
    </row>
    <row r="172" spans="1:9">
      <c r="A172" s="182"/>
      <c r="B172" s="188"/>
      <c r="C172" s="188"/>
      <c r="D172" s="188"/>
      <c r="E172" s="188"/>
      <c r="F172" s="188"/>
      <c r="G172" s="188"/>
      <c r="H172" s="188"/>
      <c r="I172" s="188"/>
    </row>
    <row r="173" spans="1:9">
      <c r="A173" s="182"/>
      <c r="B173" s="188"/>
      <c r="C173" s="188"/>
      <c r="D173" s="188"/>
      <c r="E173" s="188"/>
      <c r="F173" s="188"/>
      <c r="G173" s="188"/>
      <c r="H173" s="188"/>
      <c r="I173" s="188"/>
    </row>
    <row r="174" spans="1:9">
      <c r="A174" s="182"/>
      <c r="B174" s="188"/>
      <c r="C174" s="188"/>
      <c r="D174" s="188"/>
      <c r="E174" s="188"/>
      <c r="F174" s="188"/>
      <c r="G174" s="188"/>
      <c r="H174" s="188"/>
      <c r="I174" s="188"/>
    </row>
    <row r="175" spans="1:9">
      <c r="A175" s="182"/>
      <c r="B175" s="188"/>
      <c r="C175" s="188"/>
      <c r="D175" s="188"/>
      <c r="E175" s="188"/>
      <c r="F175" s="188"/>
      <c r="G175" s="188"/>
      <c r="H175" s="188"/>
      <c r="I175" s="188"/>
    </row>
    <row r="176" spans="1:9">
      <c r="A176" s="182"/>
      <c r="B176" s="188"/>
      <c r="C176" s="188"/>
      <c r="D176" s="188"/>
      <c r="E176" s="188"/>
      <c r="F176" s="188"/>
      <c r="G176" s="188"/>
      <c r="H176" s="188"/>
      <c r="I176" s="188"/>
    </row>
    <row r="177" spans="1:9">
      <c r="A177" s="182"/>
      <c r="B177" s="188"/>
      <c r="C177" s="188"/>
      <c r="D177" s="188"/>
      <c r="E177" s="188"/>
      <c r="F177" s="188"/>
      <c r="G177" s="188"/>
      <c r="H177" s="188"/>
      <c r="I177" s="188"/>
    </row>
    <row r="178" spans="1:9">
      <c r="A178" s="182"/>
      <c r="B178" s="188"/>
      <c r="C178" s="188"/>
      <c r="D178" s="188"/>
      <c r="E178" s="188"/>
      <c r="F178" s="188"/>
      <c r="G178" s="188"/>
      <c r="H178" s="188"/>
      <c r="I178" s="188"/>
    </row>
    <row r="179" spans="1:9">
      <c r="A179" s="182"/>
      <c r="B179" s="188"/>
      <c r="C179" s="188"/>
      <c r="D179" s="188"/>
      <c r="E179" s="188"/>
      <c r="F179" s="188"/>
      <c r="G179" s="188"/>
      <c r="H179" s="188"/>
      <c r="I179" s="188"/>
    </row>
    <row r="180" spans="1:9">
      <c r="A180" s="182"/>
      <c r="B180" s="188"/>
      <c r="C180" s="188"/>
      <c r="D180" s="188"/>
      <c r="E180" s="188"/>
      <c r="F180" s="188"/>
      <c r="G180" s="188"/>
      <c r="H180" s="188"/>
      <c r="I180" s="188"/>
    </row>
    <row r="181" spans="1:9">
      <c r="A181" s="182"/>
      <c r="B181" s="188"/>
      <c r="C181" s="188"/>
      <c r="D181" s="188"/>
      <c r="E181" s="188"/>
      <c r="F181" s="188"/>
      <c r="G181" s="188"/>
      <c r="H181" s="188"/>
      <c r="I181" s="188"/>
    </row>
    <row r="182" spans="1:9">
      <c r="A182" s="182"/>
      <c r="B182" s="188"/>
      <c r="C182" s="188"/>
      <c r="D182" s="188"/>
      <c r="E182" s="188"/>
      <c r="F182" s="188"/>
      <c r="G182" s="188"/>
      <c r="H182" s="188"/>
      <c r="I182" s="188"/>
    </row>
    <row r="183" spans="1:9">
      <c r="A183" s="182"/>
      <c r="B183" s="188"/>
      <c r="C183" s="188"/>
      <c r="D183" s="188"/>
      <c r="E183" s="188"/>
      <c r="F183" s="188"/>
      <c r="G183" s="188"/>
      <c r="H183" s="188"/>
      <c r="I183" s="188"/>
    </row>
    <row r="184" spans="1:9">
      <c r="A184" s="182"/>
      <c r="B184" s="188"/>
      <c r="C184" s="188"/>
      <c r="D184" s="188"/>
      <c r="E184" s="188"/>
      <c r="F184" s="188"/>
      <c r="G184" s="188"/>
      <c r="H184" s="188"/>
      <c r="I184" s="188"/>
    </row>
    <row r="185" spans="1:9">
      <c r="A185" s="182"/>
      <c r="B185" s="188"/>
      <c r="C185" s="188"/>
      <c r="D185" s="188"/>
      <c r="E185" s="188"/>
      <c r="F185" s="188"/>
      <c r="G185" s="188"/>
      <c r="H185" s="188"/>
      <c r="I185" s="188"/>
    </row>
    <row r="186" spans="1:9">
      <c r="A186" s="182"/>
      <c r="B186" s="188"/>
      <c r="C186" s="188"/>
      <c r="D186" s="188"/>
      <c r="E186" s="188"/>
      <c r="F186" s="188"/>
      <c r="G186" s="188"/>
      <c r="H186" s="188"/>
      <c r="I186" s="188"/>
    </row>
    <row r="187" spans="1:9">
      <c r="A187" s="182"/>
      <c r="B187" s="188"/>
      <c r="C187" s="188"/>
      <c r="D187" s="188"/>
      <c r="E187" s="188"/>
      <c r="F187" s="188"/>
      <c r="G187" s="188"/>
      <c r="H187" s="188"/>
      <c r="I187" s="188"/>
    </row>
    <row r="188" spans="1:9">
      <c r="A188" s="182"/>
      <c r="B188" s="188"/>
      <c r="C188" s="188"/>
      <c r="D188" s="188"/>
      <c r="E188" s="188"/>
      <c r="F188" s="188"/>
      <c r="G188" s="188"/>
      <c r="H188" s="188"/>
      <c r="I188" s="188"/>
    </row>
    <row r="189" spans="1:9">
      <c r="A189" s="182"/>
      <c r="B189" s="188"/>
      <c r="C189" s="188"/>
      <c r="D189" s="188"/>
      <c r="E189" s="188"/>
      <c r="F189" s="188"/>
      <c r="G189" s="188"/>
      <c r="H189" s="188"/>
      <c r="I189" s="188"/>
    </row>
    <row r="190" spans="1:9">
      <c r="A190" s="182"/>
      <c r="B190" s="188"/>
      <c r="C190" s="188"/>
      <c r="D190" s="188"/>
      <c r="E190" s="188"/>
      <c r="F190" s="188"/>
      <c r="G190" s="188"/>
      <c r="H190" s="188"/>
      <c r="I190" s="188"/>
    </row>
    <row r="191" spans="1:9">
      <c r="A191" s="182"/>
      <c r="B191" s="188"/>
      <c r="C191" s="188"/>
      <c r="D191" s="188"/>
      <c r="E191" s="188"/>
      <c r="F191" s="188"/>
      <c r="G191" s="188"/>
      <c r="H191" s="188"/>
      <c r="I191" s="188"/>
    </row>
    <row r="192" spans="1:9">
      <c r="A192" s="182"/>
      <c r="B192" s="188"/>
      <c r="C192" s="188"/>
      <c r="D192" s="188"/>
      <c r="E192" s="188"/>
      <c r="F192" s="188"/>
      <c r="G192" s="188"/>
      <c r="H192" s="188"/>
      <c r="I192" s="188"/>
    </row>
    <row r="193" spans="1:9">
      <c r="A193" s="182"/>
      <c r="B193" s="188"/>
      <c r="C193" s="188"/>
      <c r="D193" s="188"/>
      <c r="E193" s="188"/>
      <c r="F193" s="188"/>
      <c r="G193" s="188"/>
      <c r="H193" s="188"/>
      <c r="I193" s="188"/>
    </row>
    <row r="194" spans="1:9">
      <c r="A194" s="182"/>
      <c r="B194" s="188"/>
      <c r="C194" s="188"/>
      <c r="D194" s="188"/>
      <c r="E194" s="188"/>
      <c r="F194" s="188"/>
      <c r="G194" s="188"/>
      <c r="H194" s="188"/>
      <c r="I194" s="188"/>
    </row>
    <row r="195" spans="1:9">
      <c r="A195" s="182"/>
      <c r="B195" s="188"/>
      <c r="C195" s="188"/>
      <c r="D195" s="188"/>
      <c r="E195" s="188"/>
      <c r="F195" s="188"/>
      <c r="G195" s="188"/>
      <c r="H195" s="188"/>
      <c r="I195" s="188"/>
    </row>
    <row r="196" spans="1:9">
      <c r="A196" s="182"/>
      <c r="B196" s="188"/>
      <c r="C196" s="188"/>
      <c r="D196" s="188"/>
      <c r="E196" s="188"/>
      <c r="F196" s="188"/>
      <c r="G196" s="188"/>
      <c r="H196" s="188"/>
      <c r="I196" s="188"/>
    </row>
    <row r="197" spans="1:9">
      <c r="A197" s="182"/>
      <c r="B197" s="188"/>
      <c r="C197" s="188"/>
      <c r="D197" s="188"/>
      <c r="E197" s="188"/>
      <c r="F197" s="188"/>
      <c r="G197" s="188"/>
      <c r="H197" s="188"/>
      <c r="I197" s="188"/>
    </row>
    <row r="198" spans="1:9">
      <c r="A198" s="182"/>
      <c r="B198" s="188"/>
      <c r="C198" s="188"/>
      <c r="D198" s="188"/>
      <c r="E198" s="188"/>
      <c r="F198" s="188"/>
      <c r="G198" s="188"/>
      <c r="H198" s="188"/>
      <c r="I198" s="188"/>
    </row>
    <row r="199" spans="1:9">
      <c r="A199" s="182"/>
      <c r="B199" s="188"/>
      <c r="C199" s="188"/>
      <c r="D199" s="188"/>
      <c r="E199" s="188"/>
      <c r="F199" s="188"/>
      <c r="G199" s="188"/>
      <c r="H199" s="188"/>
      <c r="I199" s="188"/>
    </row>
    <row r="200" spans="1:9">
      <c r="A200" s="182"/>
      <c r="B200" s="188"/>
      <c r="C200" s="188"/>
      <c r="D200" s="188"/>
      <c r="E200" s="188"/>
      <c r="F200" s="188"/>
      <c r="G200" s="188"/>
      <c r="H200" s="188"/>
      <c r="I200" s="188"/>
    </row>
    <row r="201" spans="1:9">
      <c r="A201" s="182"/>
      <c r="B201" s="188"/>
      <c r="C201" s="188"/>
      <c r="D201" s="188"/>
      <c r="E201" s="188"/>
      <c r="F201" s="188"/>
      <c r="G201" s="188"/>
      <c r="H201" s="188"/>
      <c r="I201" s="188"/>
    </row>
    <row r="202" spans="1:9">
      <c r="A202" s="182"/>
      <c r="B202" s="188"/>
      <c r="C202" s="188"/>
      <c r="D202" s="188"/>
      <c r="E202" s="188"/>
      <c r="F202" s="188"/>
      <c r="G202" s="188"/>
      <c r="H202" s="188"/>
      <c r="I202" s="188"/>
    </row>
    <row r="203" spans="1:9">
      <c r="A203" s="182"/>
      <c r="B203" s="188"/>
      <c r="C203" s="188"/>
      <c r="D203" s="188"/>
      <c r="E203" s="188"/>
      <c r="F203" s="188"/>
      <c r="G203" s="188"/>
      <c r="H203" s="188"/>
      <c r="I203" s="188"/>
    </row>
    <row r="204" spans="1:9">
      <c r="A204" s="182"/>
      <c r="B204" s="188"/>
      <c r="C204" s="188"/>
      <c r="D204" s="188"/>
      <c r="E204" s="188"/>
      <c r="F204" s="188"/>
      <c r="G204" s="188"/>
      <c r="H204" s="188"/>
      <c r="I204" s="188"/>
    </row>
    <row r="205" spans="1:9">
      <c r="A205" s="182"/>
      <c r="B205" s="188"/>
      <c r="C205" s="188"/>
      <c r="D205" s="188"/>
      <c r="E205" s="188"/>
      <c r="F205" s="188"/>
      <c r="G205" s="188"/>
      <c r="H205" s="188"/>
      <c r="I205" s="188"/>
    </row>
    <row r="206" spans="1:9">
      <c r="A206" s="182"/>
      <c r="B206" s="188"/>
      <c r="C206" s="188"/>
      <c r="D206" s="188"/>
      <c r="E206" s="188"/>
      <c r="F206" s="188"/>
      <c r="G206" s="188"/>
      <c r="H206" s="188"/>
      <c r="I206" s="188"/>
    </row>
    <row r="207" spans="1:9">
      <c r="A207" s="182"/>
      <c r="B207" s="188"/>
      <c r="C207" s="188"/>
      <c r="D207" s="188"/>
      <c r="E207" s="188"/>
      <c r="F207" s="188"/>
      <c r="G207" s="188"/>
      <c r="H207" s="188"/>
      <c r="I207" s="188"/>
    </row>
    <row r="208" spans="1:9">
      <c r="A208" s="182"/>
      <c r="B208" s="188"/>
      <c r="C208" s="188"/>
      <c r="D208" s="188"/>
      <c r="E208" s="188"/>
      <c r="F208" s="188"/>
      <c r="G208" s="188"/>
      <c r="H208" s="188"/>
      <c r="I208" s="188"/>
    </row>
    <row r="209" spans="1:9">
      <c r="A209" s="182"/>
      <c r="B209" s="188"/>
      <c r="C209" s="188"/>
      <c r="D209" s="188"/>
      <c r="E209" s="188"/>
      <c r="F209" s="188"/>
      <c r="G209" s="188"/>
      <c r="H209" s="188"/>
      <c r="I209" s="188"/>
    </row>
    <row r="210" spans="1:9">
      <c r="A210" s="182"/>
      <c r="B210" s="188"/>
      <c r="C210" s="188"/>
      <c r="D210" s="188"/>
      <c r="E210" s="188"/>
      <c r="F210" s="188"/>
      <c r="G210" s="188"/>
      <c r="H210" s="188"/>
      <c r="I210" s="188"/>
    </row>
    <row r="211" spans="1:9">
      <c r="A211" s="182"/>
      <c r="B211" s="188"/>
      <c r="C211" s="188"/>
      <c r="D211" s="188"/>
      <c r="E211" s="188"/>
      <c r="F211" s="188"/>
      <c r="G211" s="188"/>
      <c r="H211" s="188"/>
      <c r="I211" s="188"/>
    </row>
    <row r="212" spans="1:9">
      <c r="A212" s="182"/>
      <c r="B212" s="188"/>
      <c r="C212" s="188"/>
      <c r="D212" s="188"/>
      <c r="E212" s="188"/>
      <c r="F212" s="188"/>
      <c r="G212" s="188"/>
      <c r="H212" s="188"/>
      <c r="I212" s="188"/>
    </row>
    <row r="213" spans="1:9">
      <c r="A213" s="182"/>
      <c r="B213" s="188"/>
      <c r="C213" s="188"/>
      <c r="D213" s="188"/>
      <c r="E213" s="188"/>
      <c r="F213" s="188"/>
      <c r="G213" s="188"/>
      <c r="H213" s="188"/>
      <c r="I213" s="188"/>
    </row>
    <row r="214" spans="1:9">
      <c r="A214" s="182"/>
      <c r="B214" s="188"/>
      <c r="C214" s="188"/>
      <c r="D214" s="188"/>
      <c r="E214" s="188"/>
      <c r="F214" s="188"/>
      <c r="G214" s="188"/>
      <c r="H214" s="188"/>
      <c r="I214" s="188"/>
    </row>
    <row r="215" spans="1:9">
      <c r="A215" s="182"/>
      <c r="B215" s="188"/>
      <c r="C215" s="188"/>
      <c r="D215" s="188"/>
      <c r="E215" s="188"/>
      <c r="F215" s="188"/>
      <c r="G215" s="188"/>
      <c r="H215" s="188"/>
      <c r="I215" s="188"/>
    </row>
    <row r="216" spans="1:9">
      <c r="A216" s="182"/>
      <c r="B216" s="188"/>
      <c r="C216" s="188"/>
      <c r="D216" s="188"/>
      <c r="E216" s="188"/>
      <c r="F216" s="188"/>
      <c r="G216" s="188"/>
      <c r="H216" s="188"/>
      <c r="I216" s="188"/>
    </row>
    <row r="217" spans="1:9">
      <c r="A217" s="182"/>
      <c r="B217" s="188"/>
      <c r="C217" s="188"/>
      <c r="D217" s="188"/>
      <c r="E217" s="188"/>
      <c r="F217" s="188"/>
      <c r="G217" s="188"/>
      <c r="H217" s="188"/>
      <c r="I217" s="188"/>
    </row>
    <row r="218" spans="1:9">
      <c r="A218" s="182"/>
      <c r="B218" s="188"/>
      <c r="C218" s="188"/>
      <c r="D218" s="188"/>
      <c r="E218" s="188"/>
      <c r="F218" s="188"/>
      <c r="G218" s="188"/>
      <c r="H218" s="188"/>
      <c r="I218" s="188"/>
    </row>
    <row r="219" spans="1:9">
      <c r="A219" s="182"/>
      <c r="B219" s="188"/>
      <c r="C219" s="188"/>
      <c r="D219" s="188"/>
      <c r="E219" s="188"/>
      <c r="F219" s="188"/>
      <c r="G219" s="188"/>
      <c r="H219" s="188"/>
      <c r="I219" s="188"/>
    </row>
    <row r="220" spans="1:9">
      <c r="A220" s="182"/>
      <c r="B220" s="188"/>
      <c r="C220" s="188"/>
      <c r="D220" s="188"/>
      <c r="E220" s="188"/>
      <c r="F220" s="188"/>
      <c r="G220" s="188"/>
      <c r="H220" s="188"/>
      <c r="I220" s="188"/>
    </row>
    <row r="221" spans="1:9">
      <c r="A221" s="182"/>
      <c r="B221" s="188"/>
      <c r="C221" s="188"/>
      <c r="D221" s="188"/>
      <c r="E221" s="188"/>
      <c r="F221" s="188"/>
      <c r="G221" s="188"/>
      <c r="H221" s="188"/>
      <c r="I221" s="188"/>
    </row>
    <row r="222" spans="1:9">
      <c r="A222" s="182"/>
      <c r="B222" s="188"/>
      <c r="C222" s="188"/>
      <c r="D222" s="188"/>
      <c r="E222" s="188"/>
      <c r="F222" s="188"/>
      <c r="G222" s="188"/>
      <c r="H222" s="188"/>
      <c r="I222" s="188"/>
    </row>
    <row r="223" spans="1:9">
      <c r="A223" s="182"/>
      <c r="B223" s="188"/>
      <c r="C223" s="188"/>
      <c r="D223" s="188"/>
      <c r="E223" s="188"/>
      <c r="F223" s="188"/>
      <c r="G223" s="188"/>
      <c r="H223" s="188"/>
      <c r="I223" s="188"/>
    </row>
    <row r="224" spans="1:9">
      <c r="A224" s="182"/>
      <c r="B224" s="188"/>
      <c r="C224" s="188"/>
      <c r="D224" s="188"/>
      <c r="E224" s="188"/>
      <c r="F224" s="188"/>
      <c r="G224" s="188"/>
      <c r="H224" s="188"/>
      <c r="I224" s="188"/>
    </row>
    <row r="225" spans="1:9">
      <c r="A225" s="182"/>
      <c r="B225" s="188"/>
      <c r="C225" s="188"/>
      <c r="D225" s="188"/>
      <c r="E225" s="188"/>
      <c r="F225" s="188"/>
      <c r="G225" s="188"/>
      <c r="H225" s="188"/>
      <c r="I225" s="188"/>
    </row>
    <row r="226" spans="1:9">
      <c r="A226" s="182"/>
      <c r="B226" s="188"/>
      <c r="C226" s="188"/>
      <c r="D226" s="188"/>
      <c r="E226" s="188"/>
      <c r="F226" s="188"/>
      <c r="G226" s="188"/>
      <c r="H226" s="188"/>
      <c r="I226" s="188"/>
    </row>
    <row r="227" spans="1:9">
      <c r="A227" s="182"/>
      <c r="B227" s="188"/>
      <c r="C227" s="188"/>
      <c r="D227" s="188"/>
      <c r="E227" s="188"/>
      <c r="F227" s="188"/>
      <c r="G227" s="188"/>
      <c r="H227" s="188"/>
      <c r="I227" s="188"/>
    </row>
    <row r="228" spans="1:9">
      <c r="A228" s="182"/>
      <c r="B228" s="188"/>
      <c r="C228" s="188"/>
      <c r="D228" s="188"/>
      <c r="E228" s="188"/>
      <c r="F228" s="188"/>
      <c r="G228" s="188"/>
      <c r="H228" s="188"/>
      <c r="I228" s="188"/>
    </row>
    <row r="229" spans="1:9">
      <c r="A229" s="182"/>
      <c r="B229" s="188"/>
      <c r="C229" s="188"/>
      <c r="D229" s="188"/>
      <c r="E229" s="188"/>
      <c r="F229" s="188"/>
      <c r="G229" s="188"/>
      <c r="H229" s="188"/>
      <c r="I229" s="188"/>
    </row>
    <row r="230" spans="1:9">
      <c r="A230" s="182"/>
      <c r="B230" s="188"/>
      <c r="C230" s="188"/>
      <c r="D230" s="188"/>
      <c r="E230" s="188"/>
      <c r="F230" s="188"/>
      <c r="G230" s="188"/>
      <c r="H230" s="188"/>
      <c r="I230" s="188"/>
    </row>
    <row r="231" spans="1:9">
      <c r="A231" s="182"/>
      <c r="B231" s="188"/>
      <c r="C231" s="188"/>
      <c r="D231" s="188"/>
      <c r="E231" s="188"/>
      <c r="F231" s="188"/>
      <c r="G231" s="188"/>
      <c r="H231" s="188"/>
      <c r="I231" s="188"/>
    </row>
    <row r="232" spans="1:9">
      <c r="A232" s="182"/>
      <c r="B232" s="188"/>
      <c r="C232" s="188"/>
      <c r="D232" s="188"/>
      <c r="E232" s="188"/>
      <c r="F232" s="188"/>
      <c r="G232" s="188"/>
      <c r="H232" s="188"/>
      <c r="I232" s="188"/>
    </row>
    <row r="233" spans="1:9">
      <c r="A233" s="182"/>
      <c r="B233" s="188"/>
      <c r="C233" s="188"/>
      <c r="D233" s="188"/>
      <c r="E233" s="188"/>
      <c r="F233" s="188"/>
      <c r="G233" s="188"/>
      <c r="H233" s="188"/>
      <c r="I233" s="188"/>
    </row>
    <row r="234" spans="1:9">
      <c r="A234" s="182"/>
      <c r="B234" s="188"/>
      <c r="C234" s="188"/>
      <c r="D234" s="188"/>
      <c r="E234" s="188"/>
      <c r="F234" s="188"/>
      <c r="G234" s="188"/>
      <c r="H234" s="188"/>
      <c r="I234" s="188"/>
    </row>
    <row r="235" spans="1:9">
      <c r="A235" s="182"/>
      <c r="B235" s="188"/>
      <c r="C235" s="188"/>
      <c r="D235" s="188"/>
      <c r="E235" s="188"/>
      <c r="F235" s="188"/>
      <c r="G235" s="188"/>
      <c r="H235" s="188"/>
      <c r="I235" s="188"/>
    </row>
    <row r="236" spans="1:9">
      <c r="A236" s="182"/>
      <c r="B236" s="188"/>
      <c r="C236" s="188"/>
      <c r="D236" s="188"/>
      <c r="E236" s="188"/>
      <c r="F236" s="188"/>
      <c r="G236" s="188"/>
      <c r="H236" s="188"/>
      <c r="I236" s="188"/>
    </row>
    <row r="237" spans="1:9">
      <c r="A237" s="182"/>
      <c r="B237" s="188"/>
      <c r="C237" s="188"/>
      <c r="D237" s="188"/>
      <c r="E237" s="188"/>
      <c r="F237" s="188"/>
      <c r="G237" s="188"/>
      <c r="H237" s="188"/>
      <c r="I237" s="188"/>
    </row>
    <row r="238" spans="1:9">
      <c r="A238" s="182"/>
      <c r="B238" s="188"/>
      <c r="C238" s="188"/>
      <c r="D238" s="188"/>
      <c r="E238" s="188"/>
      <c r="F238" s="188"/>
      <c r="G238" s="188"/>
      <c r="H238" s="188"/>
      <c r="I238" s="188"/>
    </row>
    <row r="239" spans="1:9">
      <c r="A239" s="182"/>
      <c r="B239" s="188"/>
      <c r="C239" s="188"/>
      <c r="D239" s="188"/>
      <c r="E239" s="188"/>
      <c r="F239" s="188"/>
      <c r="G239" s="188"/>
      <c r="H239" s="188"/>
      <c r="I239" s="188"/>
    </row>
    <row r="240" spans="1:9">
      <c r="A240" s="182"/>
      <c r="B240" s="188"/>
      <c r="C240" s="188"/>
      <c r="D240" s="188"/>
      <c r="E240" s="188"/>
      <c r="F240" s="188"/>
      <c r="G240" s="188"/>
      <c r="H240" s="188"/>
      <c r="I240" s="188"/>
    </row>
    <row r="241" spans="1:9">
      <c r="A241" s="182"/>
      <c r="B241" s="188"/>
      <c r="C241" s="188"/>
      <c r="D241" s="188"/>
      <c r="E241" s="188"/>
      <c r="F241" s="188"/>
      <c r="G241" s="188"/>
      <c r="H241" s="188"/>
      <c r="I241" s="188"/>
    </row>
    <row r="242" spans="1:9">
      <c r="A242" s="182"/>
      <c r="B242" s="188"/>
      <c r="C242" s="188"/>
      <c r="D242" s="188"/>
      <c r="E242" s="188"/>
      <c r="F242" s="188"/>
      <c r="G242" s="188"/>
      <c r="H242" s="188"/>
      <c r="I242" s="188"/>
    </row>
    <row r="243" spans="1:9">
      <c r="A243" s="182"/>
      <c r="B243" s="188"/>
      <c r="C243" s="188"/>
      <c r="D243" s="188"/>
      <c r="E243" s="188"/>
      <c r="F243" s="188"/>
      <c r="G243" s="188"/>
      <c r="H243" s="188"/>
      <c r="I243" s="188"/>
    </row>
    <row r="244" spans="1:9">
      <c r="A244" s="182"/>
      <c r="B244" s="188"/>
      <c r="C244" s="188"/>
      <c r="D244" s="188"/>
      <c r="E244" s="188"/>
      <c r="F244" s="188"/>
      <c r="G244" s="188"/>
      <c r="H244" s="188"/>
      <c r="I244" s="188"/>
    </row>
    <row r="245" spans="1:9">
      <c r="A245" s="182"/>
      <c r="B245" s="188"/>
      <c r="C245" s="188"/>
      <c r="D245" s="188"/>
      <c r="E245" s="188"/>
      <c r="F245" s="188"/>
      <c r="G245" s="188"/>
      <c r="H245" s="188"/>
      <c r="I245" s="188"/>
    </row>
    <row r="246" spans="1:9">
      <c r="A246" s="182"/>
      <c r="B246" s="188"/>
      <c r="C246" s="188"/>
      <c r="D246" s="188"/>
      <c r="E246" s="188"/>
      <c r="F246" s="188"/>
      <c r="G246" s="188"/>
      <c r="H246" s="188"/>
      <c r="I246" s="188"/>
    </row>
    <row r="247" spans="1:9">
      <c r="A247" s="182"/>
      <c r="B247" s="188"/>
      <c r="C247" s="188"/>
      <c r="D247" s="188"/>
      <c r="E247" s="188"/>
      <c r="F247" s="188"/>
      <c r="G247" s="188"/>
      <c r="H247" s="188"/>
      <c r="I247" s="188"/>
    </row>
    <row r="248" spans="1:9">
      <c r="A248" s="182"/>
      <c r="B248" s="188"/>
      <c r="C248" s="188"/>
      <c r="D248" s="188"/>
      <c r="E248" s="188"/>
      <c r="F248" s="188"/>
      <c r="G248" s="188"/>
      <c r="H248" s="188"/>
      <c r="I248" s="188"/>
    </row>
    <row r="249" spans="1:9">
      <c r="A249" s="182"/>
      <c r="B249" s="188"/>
      <c r="C249" s="188"/>
      <c r="D249" s="188"/>
      <c r="E249" s="188"/>
      <c r="F249" s="188"/>
      <c r="G249" s="188"/>
      <c r="H249" s="188"/>
      <c r="I249" s="188"/>
    </row>
    <row r="250" spans="1:9">
      <c r="A250" s="182"/>
      <c r="B250" s="188"/>
      <c r="C250" s="188"/>
      <c r="D250" s="188"/>
      <c r="E250" s="188"/>
      <c r="F250" s="188"/>
      <c r="G250" s="188"/>
      <c r="H250" s="188"/>
      <c r="I250" s="188"/>
    </row>
    <row r="251" spans="1:9">
      <c r="A251" s="182"/>
      <c r="B251" s="188"/>
      <c r="C251" s="188"/>
      <c r="D251" s="188"/>
      <c r="E251" s="188"/>
      <c r="F251" s="188"/>
      <c r="G251" s="188"/>
      <c r="H251" s="188"/>
      <c r="I251" s="188"/>
    </row>
    <row r="252" spans="1:9">
      <c r="A252" s="182"/>
      <c r="B252" s="188"/>
      <c r="C252" s="188"/>
      <c r="D252" s="188"/>
      <c r="E252" s="188"/>
      <c r="F252" s="188"/>
      <c r="G252" s="188"/>
      <c r="H252" s="188"/>
      <c r="I252" s="188"/>
    </row>
    <row r="253" spans="1:9">
      <c r="A253" s="182"/>
      <c r="B253" s="188"/>
      <c r="C253" s="188"/>
      <c r="D253" s="188"/>
      <c r="E253" s="188"/>
      <c r="F253" s="188"/>
      <c r="G253" s="188"/>
      <c r="H253" s="188"/>
      <c r="I253" s="188"/>
    </row>
    <row r="254" spans="1:9">
      <c r="A254" s="182"/>
      <c r="B254" s="188"/>
      <c r="C254" s="188"/>
      <c r="D254" s="188"/>
      <c r="E254" s="188"/>
      <c r="F254" s="188"/>
      <c r="G254" s="188"/>
      <c r="H254" s="188"/>
      <c r="I254" s="188"/>
    </row>
    <row r="255" spans="1:9">
      <c r="A255" s="182"/>
      <c r="B255" s="188"/>
      <c r="C255" s="188"/>
      <c r="D255" s="188"/>
      <c r="E255" s="188"/>
      <c r="F255" s="188"/>
      <c r="G255" s="188"/>
      <c r="H255" s="188"/>
      <c r="I255" s="188"/>
    </row>
    <row r="256" spans="1:9">
      <c r="A256" s="182"/>
      <c r="B256" s="188"/>
      <c r="C256" s="188"/>
      <c r="D256" s="188"/>
      <c r="E256" s="188"/>
      <c r="F256" s="188"/>
      <c r="G256" s="188"/>
      <c r="H256" s="188"/>
      <c r="I256" s="188"/>
    </row>
    <row r="257" spans="1:9">
      <c r="A257" s="182"/>
      <c r="B257" s="188"/>
      <c r="C257" s="188"/>
      <c r="D257" s="188"/>
      <c r="E257" s="188"/>
      <c r="F257" s="188"/>
      <c r="G257" s="188"/>
      <c r="H257" s="188"/>
      <c r="I257" s="188"/>
    </row>
    <row r="258" spans="1:9">
      <c r="A258" s="182"/>
      <c r="B258" s="188"/>
      <c r="C258" s="188"/>
      <c r="D258" s="188"/>
      <c r="E258" s="188"/>
      <c r="F258" s="188"/>
      <c r="G258" s="188"/>
      <c r="H258" s="188"/>
      <c r="I258" s="188"/>
    </row>
    <row r="259" spans="1:9">
      <c r="A259" s="182"/>
      <c r="B259" s="188"/>
      <c r="C259" s="188"/>
      <c r="D259" s="188"/>
      <c r="E259" s="188"/>
      <c r="F259" s="188"/>
      <c r="G259" s="188"/>
      <c r="H259" s="188"/>
      <c r="I259" s="188"/>
    </row>
    <row r="260" spans="1:9">
      <c r="A260" s="182"/>
      <c r="B260" s="188"/>
      <c r="C260" s="188"/>
      <c r="D260" s="188"/>
      <c r="E260" s="188"/>
      <c r="F260" s="188"/>
      <c r="G260" s="188"/>
      <c r="H260" s="188"/>
      <c r="I260" s="188"/>
    </row>
    <row r="261" spans="1:9">
      <c r="A261" s="182"/>
      <c r="B261" s="188"/>
      <c r="C261" s="188"/>
      <c r="D261" s="188"/>
      <c r="E261" s="188"/>
      <c r="F261" s="188"/>
      <c r="G261" s="188"/>
      <c r="H261" s="188"/>
      <c r="I261" s="188"/>
    </row>
    <row r="262" spans="1:9">
      <c r="A262" s="182"/>
      <c r="B262" s="188"/>
      <c r="C262" s="188"/>
      <c r="D262" s="188"/>
      <c r="E262" s="188"/>
      <c r="F262" s="188"/>
      <c r="G262" s="188"/>
      <c r="H262" s="188"/>
      <c r="I262" s="188"/>
    </row>
    <row r="263" spans="1:9">
      <c r="A263" s="182"/>
      <c r="B263" s="188"/>
      <c r="C263" s="188"/>
      <c r="D263" s="188"/>
      <c r="E263" s="188"/>
      <c r="F263" s="188"/>
      <c r="G263" s="188"/>
      <c r="H263" s="188"/>
      <c r="I263" s="188"/>
    </row>
    <row r="264" spans="1:9">
      <c r="A264" s="182"/>
      <c r="B264" s="188"/>
      <c r="C264" s="188"/>
      <c r="D264" s="188"/>
      <c r="E264" s="188"/>
      <c r="F264" s="188"/>
      <c r="G264" s="188"/>
      <c r="H264" s="188"/>
      <c r="I264" s="188"/>
    </row>
    <row r="265" spans="1:9">
      <c r="A265" s="182"/>
      <c r="B265" s="188"/>
      <c r="C265" s="188"/>
      <c r="D265" s="188"/>
      <c r="E265" s="188"/>
      <c r="F265" s="188"/>
      <c r="G265" s="188"/>
      <c r="H265" s="188"/>
      <c r="I265" s="188"/>
    </row>
    <row r="266" spans="1:9">
      <c r="A266" s="182"/>
      <c r="B266" s="188"/>
      <c r="C266" s="188"/>
      <c r="D266" s="188"/>
      <c r="E266" s="188"/>
      <c r="F266" s="188"/>
      <c r="G266" s="188"/>
      <c r="H266" s="188"/>
      <c r="I266" s="188"/>
    </row>
    <row r="267" spans="1:9">
      <c r="A267" s="182"/>
      <c r="B267" s="188"/>
      <c r="C267" s="188"/>
      <c r="D267" s="188"/>
      <c r="E267" s="188"/>
      <c r="F267" s="188"/>
      <c r="G267" s="188"/>
      <c r="H267" s="188"/>
      <c r="I267" s="188"/>
    </row>
    <row r="268" spans="1:9">
      <c r="A268" s="182"/>
      <c r="B268" s="188"/>
      <c r="C268" s="188"/>
      <c r="D268" s="188"/>
      <c r="E268" s="188"/>
      <c r="F268" s="188"/>
      <c r="G268" s="188"/>
      <c r="H268" s="188"/>
      <c r="I268" s="188"/>
    </row>
    <row r="269" spans="1:9">
      <c r="A269" s="182"/>
      <c r="B269" s="188"/>
      <c r="C269" s="188"/>
      <c r="D269" s="188"/>
      <c r="E269" s="188"/>
      <c r="F269" s="188"/>
      <c r="G269" s="188"/>
      <c r="H269" s="188"/>
      <c r="I269" s="188"/>
    </row>
    <row r="270" spans="1:9">
      <c r="A270" s="182"/>
      <c r="B270" s="188"/>
      <c r="C270" s="188"/>
      <c r="D270" s="188"/>
      <c r="E270" s="188"/>
      <c r="F270" s="188"/>
      <c r="G270" s="188"/>
      <c r="H270" s="188"/>
      <c r="I270" s="188"/>
    </row>
    <row r="271" spans="1:9">
      <c r="A271" s="182"/>
      <c r="B271" s="188"/>
      <c r="C271" s="188"/>
      <c r="D271" s="188"/>
      <c r="E271" s="188"/>
      <c r="F271" s="188"/>
      <c r="G271" s="188"/>
      <c r="H271" s="188"/>
      <c r="I271" s="188"/>
    </row>
    <row r="272" spans="1:9">
      <c r="A272" s="182"/>
      <c r="B272" s="188"/>
      <c r="C272" s="188"/>
      <c r="D272" s="188"/>
      <c r="E272" s="188"/>
      <c r="F272" s="188"/>
      <c r="G272" s="188"/>
      <c r="H272" s="188"/>
      <c r="I272" s="188"/>
    </row>
    <row r="273" spans="1:9">
      <c r="A273" s="182"/>
      <c r="B273" s="188"/>
      <c r="C273" s="188"/>
      <c r="D273" s="188"/>
      <c r="E273" s="188"/>
      <c r="F273" s="188"/>
      <c r="G273" s="188"/>
      <c r="H273" s="188"/>
      <c r="I273" s="188"/>
    </row>
    <row r="274" spans="1:9">
      <c r="A274" s="182"/>
      <c r="B274" s="188"/>
      <c r="C274" s="188"/>
      <c r="D274" s="188"/>
      <c r="E274" s="188"/>
      <c r="F274" s="188"/>
      <c r="G274" s="188"/>
      <c r="H274" s="188"/>
      <c r="I274" s="188"/>
    </row>
    <row r="275" spans="1:9">
      <c r="A275" s="182"/>
      <c r="B275" s="188"/>
      <c r="C275" s="188"/>
      <c r="D275" s="188"/>
      <c r="E275" s="188"/>
      <c r="F275" s="188"/>
      <c r="G275" s="188"/>
      <c r="H275" s="188"/>
      <c r="I275" s="188"/>
    </row>
    <row r="276" spans="1:9">
      <c r="A276" s="182"/>
      <c r="B276" s="188"/>
      <c r="C276" s="188"/>
      <c r="D276" s="188"/>
      <c r="E276" s="188"/>
      <c r="F276" s="188"/>
      <c r="G276" s="188"/>
      <c r="H276" s="188"/>
      <c r="I276" s="188"/>
    </row>
    <row r="277" spans="1:9">
      <c r="A277" s="182"/>
      <c r="B277" s="188"/>
      <c r="C277" s="188"/>
      <c r="D277" s="188"/>
      <c r="E277" s="188"/>
      <c r="F277" s="188"/>
      <c r="G277" s="188"/>
      <c r="H277" s="188"/>
      <c r="I277" s="188"/>
    </row>
    <row r="278" spans="1:9">
      <c r="A278" s="182"/>
      <c r="B278" s="188"/>
      <c r="C278" s="188"/>
      <c r="D278" s="188"/>
      <c r="E278" s="188"/>
      <c r="F278" s="188"/>
      <c r="G278" s="188"/>
      <c r="H278" s="188"/>
      <c r="I278" s="188"/>
    </row>
    <row r="279" spans="1:9">
      <c r="A279" s="182"/>
      <c r="B279" s="188"/>
      <c r="C279" s="188"/>
      <c r="D279" s="188"/>
      <c r="E279" s="188"/>
      <c r="F279" s="188"/>
      <c r="G279" s="188"/>
      <c r="H279" s="188"/>
      <c r="I279" s="188"/>
    </row>
    <row r="280" spans="1:9">
      <c r="A280" s="182"/>
      <c r="B280" s="188"/>
      <c r="C280" s="188"/>
      <c r="D280" s="188"/>
      <c r="E280" s="188"/>
      <c r="F280" s="188"/>
      <c r="G280" s="188"/>
      <c r="H280" s="188"/>
      <c r="I280" s="188"/>
    </row>
    <row r="281" spans="1:9">
      <c r="A281" s="182"/>
      <c r="B281" s="188"/>
      <c r="C281" s="188"/>
      <c r="D281" s="188"/>
      <c r="E281" s="188"/>
      <c r="F281" s="188"/>
      <c r="G281" s="188"/>
      <c r="H281" s="188"/>
      <c r="I281" s="188"/>
    </row>
    <row r="282" spans="1:9">
      <c r="A282" s="182"/>
      <c r="B282" s="188"/>
      <c r="C282" s="188"/>
      <c r="D282" s="188"/>
      <c r="E282" s="188"/>
      <c r="F282" s="188"/>
      <c r="G282" s="188"/>
      <c r="H282" s="188"/>
      <c r="I282" s="188"/>
    </row>
    <row r="283" spans="1:9">
      <c r="A283" s="182"/>
      <c r="B283" s="188"/>
      <c r="C283" s="188"/>
      <c r="D283" s="188"/>
      <c r="E283" s="188"/>
      <c r="F283" s="188"/>
      <c r="G283" s="188"/>
      <c r="H283" s="188"/>
      <c r="I283" s="188"/>
    </row>
    <row r="284" spans="1:9">
      <c r="A284" s="182"/>
      <c r="B284" s="188"/>
      <c r="C284" s="188"/>
      <c r="D284" s="188"/>
      <c r="E284" s="188"/>
      <c r="F284" s="188"/>
      <c r="G284" s="188"/>
      <c r="H284" s="188"/>
      <c r="I284" s="188"/>
    </row>
    <row r="285" spans="1:9">
      <c r="A285" s="182"/>
      <c r="B285" s="188"/>
      <c r="C285" s="188"/>
      <c r="D285" s="188"/>
      <c r="E285" s="188"/>
      <c r="F285" s="188"/>
      <c r="G285" s="188"/>
      <c r="H285" s="188"/>
      <c r="I285" s="188"/>
    </row>
    <row r="286" spans="1:9">
      <c r="A286" s="182"/>
      <c r="B286" s="188"/>
      <c r="C286" s="188"/>
      <c r="D286" s="188"/>
      <c r="E286" s="188"/>
      <c r="F286" s="188"/>
      <c r="G286" s="188"/>
      <c r="H286" s="188"/>
      <c r="I286" s="188"/>
    </row>
    <row r="287" spans="1:9">
      <c r="A287" s="182"/>
      <c r="B287" s="188"/>
      <c r="C287" s="188"/>
      <c r="D287" s="188"/>
      <c r="E287" s="188"/>
      <c r="F287" s="188"/>
      <c r="G287" s="188"/>
      <c r="H287" s="188"/>
      <c r="I287" s="188"/>
    </row>
    <row r="288" spans="1:9">
      <c r="A288" s="182"/>
      <c r="B288" s="188"/>
      <c r="C288" s="188"/>
      <c r="D288" s="188"/>
      <c r="E288" s="188"/>
      <c r="F288" s="188"/>
      <c r="G288" s="188"/>
      <c r="H288" s="188"/>
      <c r="I288" s="188"/>
    </row>
    <row r="289" spans="1:9">
      <c r="A289" s="182"/>
      <c r="B289" s="188"/>
      <c r="C289" s="188"/>
      <c r="D289" s="188"/>
      <c r="E289" s="188"/>
      <c r="F289" s="188"/>
      <c r="G289" s="188"/>
      <c r="H289" s="188"/>
      <c r="I289" s="188"/>
    </row>
    <row r="290" spans="1:9">
      <c r="A290" s="182"/>
      <c r="B290" s="188"/>
      <c r="C290" s="188"/>
      <c r="D290" s="188"/>
      <c r="E290" s="188"/>
      <c r="F290" s="188"/>
      <c r="G290" s="188"/>
      <c r="H290" s="188"/>
      <c r="I290" s="188"/>
    </row>
    <row r="291" spans="1:9">
      <c r="A291" s="182"/>
      <c r="B291" s="188"/>
      <c r="C291" s="188"/>
      <c r="D291" s="188"/>
      <c r="E291" s="188"/>
      <c r="F291" s="188"/>
      <c r="G291" s="188"/>
      <c r="H291" s="188"/>
      <c r="I291" s="188"/>
    </row>
    <row r="292" spans="1:9">
      <c r="A292" s="182"/>
      <c r="B292" s="188"/>
      <c r="C292" s="188"/>
      <c r="D292" s="188"/>
      <c r="E292" s="188"/>
      <c r="F292" s="188"/>
      <c r="G292" s="188"/>
      <c r="H292" s="188"/>
      <c r="I292" s="188"/>
    </row>
    <row r="293" spans="1:9">
      <c r="A293" s="182"/>
      <c r="B293" s="188"/>
      <c r="C293" s="188"/>
      <c r="D293" s="188"/>
      <c r="E293" s="188"/>
      <c r="F293" s="188"/>
      <c r="G293" s="188"/>
      <c r="H293" s="188"/>
      <c r="I293" s="188"/>
    </row>
    <row r="294" spans="1:9">
      <c r="A294" s="182"/>
      <c r="B294" s="188"/>
      <c r="C294" s="188"/>
      <c r="D294" s="188"/>
      <c r="E294" s="188"/>
      <c r="F294" s="188"/>
      <c r="G294" s="188"/>
      <c r="H294" s="188"/>
      <c r="I294" s="188"/>
    </row>
    <row r="295" spans="1:9">
      <c r="A295" s="182"/>
      <c r="B295" s="188"/>
      <c r="C295" s="188"/>
      <c r="D295" s="188"/>
      <c r="E295" s="188"/>
      <c r="F295" s="188"/>
      <c r="G295" s="188"/>
      <c r="H295" s="188"/>
      <c r="I295" s="188"/>
    </row>
    <row r="296" spans="1:9">
      <c r="A296" s="182"/>
      <c r="B296" s="188"/>
      <c r="C296" s="188"/>
      <c r="D296" s="188"/>
      <c r="E296" s="188"/>
      <c r="F296" s="188"/>
      <c r="G296" s="188"/>
      <c r="H296" s="188"/>
      <c r="I296" s="188"/>
    </row>
    <row r="297" spans="1:9">
      <c r="A297" s="182"/>
      <c r="B297" s="188"/>
      <c r="C297" s="188"/>
      <c r="D297" s="188"/>
      <c r="E297" s="188"/>
      <c r="F297" s="188"/>
      <c r="G297" s="188"/>
      <c r="H297" s="188"/>
      <c r="I297" s="188"/>
    </row>
    <row r="298" spans="1:9">
      <c r="A298" s="182"/>
      <c r="B298" s="188"/>
      <c r="C298" s="188"/>
      <c r="D298" s="188"/>
      <c r="E298" s="188"/>
      <c r="F298" s="188"/>
      <c r="G298" s="188"/>
      <c r="H298" s="188"/>
      <c r="I298" s="188"/>
    </row>
    <row r="299" spans="1:9">
      <c r="A299" s="182"/>
      <c r="B299" s="188"/>
      <c r="C299" s="188"/>
      <c r="D299" s="188"/>
      <c r="E299" s="188"/>
      <c r="F299" s="188"/>
      <c r="G299" s="188"/>
      <c r="H299" s="188"/>
      <c r="I299" s="188"/>
    </row>
    <row r="300" spans="1:9">
      <c r="A300" s="182"/>
      <c r="B300" s="188"/>
      <c r="C300" s="188"/>
      <c r="D300" s="188"/>
      <c r="E300" s="188"/>
      <c r="F300" s="188"/>
      <c r="G300" s="188"/>
      <c r="H300" s="188"/>
      <c r="I300" s="188"/>
    </row>
    <row r="301" spans="1:9">
      <c r="A301" s="182"/>
      <c r="B301" s="188"/>
      <c r="C301" s="188"/>
      <c r="D301" s="188"/>
      <c r="E301" s="188"/>
      <c r="F301" s="188"/>
      <c r="G301" s="188"/>
      <c r="H301" s="188"/>
      <c r="I301" s="188"/>
    </row>
    <row r="302" spans="1:9">
      <c r="A302" s="182"/>
      <c r="B302" s="188"/>
      <c r="C302" s="188"/>
      <c r="D302" s="188"/>
      <c r="E302" s="188"/>
      <c r="F302" s="188"/>
      <c r="G302" s="188"/>
      <c r="H302" s="188"/>
      <c r="I302" s="188"/>
    </row>
    <row r="303" spans="1:9">
      <c r="A303" s="182"/>
      <c r="B303" s="188"/>
      <c r="C303" s="188"/>
      <c r="D303" s="188"/>
      <c r="E303" s="188"/>
      <c r="F303" s="188"/>
      <c r="G303" s="188"/>
      <c r="H303" s="188"/>
      <c r="I303" s="188"/>
    </row>
    <row r="304" spans="1:9">
      <c r="A304" s="182"/>
      <c r="B304" s="188"/>
      <c r="C304" s="188"/>
      <c r="D304" s="188"/>
      <c r="E304" s="188"/>
      <c r="F304" s="188"/>
      <c r="G304" s="188"/>
      <c r="H304" s="188"/>
      <c r="I304" s="188"/>
    </row>
    <row r="305" spans="1:9">
      <c r="A305" s="182"/>
      <c r="B305" s="188"/>
      <c r="C305" s="188"/>
      <c r="D305" s="188"/>
      <c r="E305" s="188"/>
      <c r="F305" s="188"/>
      <c r="G305" s="188"/>
      <c r="H305" s="188"/>
      <c r="I305" s="188"/>
    </row>
    <row r="306" spans="1:9">
      <c r="A306" s="182"/>
      <c r="B306" s="188"/>
      <c r="C306" s="188"/>
      <c r="D306" s="188"/>
      <c r="E306" s="188"/>
      <c r="F306" s="188"/>
      <c r="G306" s="188"/>
      <c r="H306" s="188"/>
      <c r="I306" s="188"/>
    </row>
    <row r="307" spans="1:9">
      <c r="A307" s="182"/>
      <c r="B307" s="188"/>
      <c r="C307" s="188"/>
      <c r="D307" s="188"/>
      <c r="E307" s="188"/>
      <c r="F307" s="188"/>
      <c r="G307" s="188"/>
      <c r="H307" s="188"/>
      <c r="I307" s="188"/>
    </row>
    <row r="308" spans="1:9">
      <c r="A308" s="182"/>
      <c r="B308" s="188"/>
      <c r="C308" s="188"/>
      <c r="D308" s="188"/>
      <c r="E308" s="188"/>
      <c r="F308" s="188"/>
      <c r="G308" s="188"/>
      <c r="H308" s="188"/>
      <c r="I308" s="188"/>
    </row>
    <row r="309" spans="1:9">
      <c r="A309" s="182"/>
      <c r="B309" s="188"/>
      <c r="C309" s="188"/>
      <c r="D309" s="188"/>
      <c r="E309" s="188"/>
      <c r="F309" s="188"/>
      <c r="G309" s="188"/>
      <c r="H309" s="188"/>
      <c r="I309" s="188"/>
    </row>
    <row r="310" spans="1:9">
      <c r="A310" s="182"/>
      <c r="B310" s="188"/>
      <c r="C310" s="188"/>
      <c r="D310" s="188"/>
      <c r="E310" s="188"/>
      <c r="F310" s="188"/>
      <c r="G310" s="188"/>
      <c r="H310" s="188"/>
      <c r="I310" s="188"/>
    </row>
    <row r="311" spans="1:9">
      <c r="A311" s="182"/>
      <c r="B311" s="188"/>
      <c r="C311" s="188"/>
      <c r="D311" s="188"/>
      <c r="E311" s="188"/>
      <c r="F311" s="188"/>
      <c r="G311" s="188"/>
      <c r="H311" s="188"/>
      <c r="I311" s="188"/>
    </row>
    <row r="312" spans="1:9">
      <c r="A312" s="182"/>
      <c r="B312" s="188"/>
      <c r="C312" s="188"/>
      <c r="D312" s="188"/>
      <c r="E312" s="188"/>
      <c r="F312" s="188"/>
      <c r="G312" s="188"/>
      <c r="H312" s="188"/>
      <c r="I312" s="188"/>
    </row>
    <row r="313" spans="1:9">
      <c r="A313" s="182"/>
      <c r="B313" s="188"/>
      <c r="C313" s="188"/>
      <c r="D313" s="188"/>
      <c r="E313" s="188"/>
      <c r="F313" s="188"/>
      <c r="G313" s="188"/>
      <c r="H313" s="188"/>
      <c r="I313" s="188"/>
    </row>
    <row r="314" spans="1:9">
      <c r="A314" s="182"/>
      <c r="B314" s="188"/>
      <c r="C314" s="188"/>
      <c r="D314" s="188"/>
      <c r="E314" s="188"/>
      <c r="F314" s="188"/>
      <c r="G314" s="188"/>
      <c r="H314" s="188"/>
      <c r="I314" s="188"/>
    </row>
    <row r="315" spans="1:9">
      <c r="A315" s="182"/>
      <c r="B315" s="188"/>
      <c r="C315" s="188"/>
      <c r="D315" s="188"/>
      <c r="E315" s="188"/>
      <c r="F315" s="188"/>
      <c r="G315" s="188"/>
      <c r="H315" s="188"/>
      <c r="I315" s="188"/>
    </row>
    <row r="316" spans="1:9">
      <c r="A316" s="182"/>
      <c r="B316" s="188"/>
      <c r="C316" s="188"/>
      <c r="D316" s="188"/>
      <c r="E316" s="188"/>
      <c r="F316" s="188"/>
      <c r="G316" s="188"/>
      <c r="H316" s="188"/>
      <c r="I316" s="188"/>
    </row>
    <row r="317" spans="1:9">
      <c r="A317" s="182"/>
      <c r="B317" s="188"/>
      <c r="C317" s="188"/>
      <c r="D317" s="188"/>
      <c r="E317" s="188"/>
      <c r="F317" s="188"/>
      <c r="G317" s="188"/>
      <c r="H317" s="188"/>
      <c r="I317" s="188"/>
    </row>
    <row r="318" spans="1:9">
      <c r="A318" s="182"/>
      <c r="B318" s="188"/>
      <c r="C318" s="188"/>
      <c r="D318" s="188"/>
      <c r="E318" s="188"/>
      <c r="F318" s="188"/>
      <c r="G318" s="188"/>
      <c r="H318" s="188"/>
      <c r="I318" s="188"/>
    </row>
    <row r="319" spans="1:9">
      <c r="A319" s="182"/>
      <c r="B319" s="188"/>
      <c r="C319" s="188"/>
      <c r="D319" s="188"/>
      <c r="E319" s="188"/>
      <c r="F319" s="188"/>
      <c r="G319" s="188"/>
      <c r="H319" s="188"/>
      <c r="I319" s="188"/>
    </row>
    <row r="320" spans="1:9">
      <c r="A320" s="182"/>
      <c r="B320" s="188"/>
      <c r="C320" s="188"/>
      <c r="D320" s="188"/>
      <c r="E320" s="188"/>
      <c r="F320" s="188"/>
      <c r="G320" s="188"/>
      <c r="H320" s="188"/>
      <c r="I320" s="188"/>
    </row>
    <row r="321" spans="1:9">
      <c r="A321" s="182"/>
      <c r="B321" s="188"/>
      <c r="C321" s="188"/>
      <c r="D321" s="188"/>
      <c r="E321" s="188"/>
      <c r="F321" s="188"/>
      <c r="G321" s="188"/>
      <c r="H321" s="188"/>
      <c r="I321" s="188"/>
    </row>
    <row r="322" spans="1:9">
      <c r="A322" s="182"/>
      <c r="B322" s="188"/>
      <c r="C322" s="188"/>
      <c r="D322" s="188"/>
      <c r="E322" s="188"/>
      <c r="F322" s="188"/>
      <c r="G322" s="188"/>
      <c r="H322" s="188"/>
      <c r="I322" s="188"/>
    </row>
    <row r="323" spans="1:9">
      <c r="A323" s="182"/>
      <c r="B323" s="188"/>
      <c r="C323" s="188"/>
      <c r="D323" s="188"/>
      <c r="E323" s="188"/>
      <c r="F323" s="188"/>
      <c r="G323" s="188"/>
      <c r="H323" s="188"/>
      <c r="I323" s="188"/>
    </row>
    <row r="324" spans="1:9">
      <c r="A324" s="182"/>
      <c r="B324" s="188"/>
      <c r="C324" s="188"/>
      <c r="D324" s="188"/>
      <c r="E324" s="188"/>
      <c r="F324" s="188"/>
      <c r="G324" s="188"/>
      <c r="H324" s="188"/>
      <c r="I324" s="188"/>
    </row>
    <row r="325" spans="1:9">
      <c r="A325" s="182"/>
      <c r="B325" s="188"/>
      <c r="C325" s="188"/>
      <c r="D325" s="188"/>
      <c r="E325" s="188"/>
      <c r="F325" s="188"/>
      <c r="G325" s="188"/>
      <c r="H325" s="188"/>
      <c r="I325" s="188"/>
    </row>
    <row r="326" spans="1:9">
      <c r="A326" s="182"/>
      <c r="B326" s="188"/>
      <c r="C326" s="188"/>
      <c r="D326" s="188"/>
      <c r="E326" s="188"/>
      <c r="F326" s="188"/>
      <c r="G326" s="188"/>
      <c r="H326" s="188"/>
      <c r="I326" s="188"/>
    </row>
    <row r="327" spans="1:9">
      <c r="A327" s="182"/>
      <c r="B327" s="188"/>
      <c r="C327" s="188"/>
      <c r="D327" s="188"/>
      <c r="E327" s="188"/>
      <c r="F327" s="188"/>
      <c r="G327" s="188"/>
      <c r="H327" s="188"/>
      <c r="I327" s="188"/>
    </row>
    <row r="328" spans="1:9">
      <c r="A328" s="182"/>
      <c r="B328" s="188"/>
      <c r="C328" s="188"/>
      <c r="D328" s="188"/>
      <c r="E328" s="188"/>
      <c r="F328" s="188"/>
      <c r="G328" s="188"/>
      <c r="H328" s="188"/>
      <c r="I328" s="188"/>
    </row>
    <row r="329" spans="1:9">
      <c r="A329" s="182"/>
      <c r="B329" s="188"/>
      <c r="C329" s="188"/>
      <c r="D329" s="188"/>
      <c r="E329" s="188"/>
      <c r="F329" s="188"/>
      <c r="G329" s="188"/>
      <c r="H329" s="188"/>
      <c r="I329" s="188"/>
    </row>
    <row r="330" spans="1:9">
      <c r="A330" s="182"/>
      <c r="B330" s="188"/>
      <c r="C330" s="188"/>
      <c r="D330" s="188"/>
      <c r="E330" s="188"/>
      <c r="F330" s="188"/>
      <c r="G330" s="188"/>
      <c r="H330" s="188"/>
      <c r="I330" s="188"/>
    </row>
    <row r="331" spans="1:9">
      <c r="A331" s="182"/>
      <c r="B331" s="188"/>
      <c r="C331" s="188"/>
      <c r="D331" s="188"/>
      <c r="E331" s="188"/>
      <c r="F331" s="188"/>
      <c r="G331" s="188"/>
      <c r="H331" s="188"/>
      <c r="I331" s="188"/>
    </row>
    <row r="332" spans="1:9">
      <c r="A332" s="182"/>
      <c r="B332" s="188"/>
      <c r="C332" s="188"/>
      <c r="D332" s="188"/>
      <c r="E332" s="188"/>
      <c r="F332" s="188"/>
      <c r="G332" s="188"/>
      <c r="H332" s="188"/>
      <c r="I332" s="188"/>
    </row>
    <row r="333" spans="1:9">
      <c r="A333" s="182"/>
      <c r="B333" s="188"/>
      <c r="C333" s="188"/>
      <c r="D333" s="188"/>
      <c r="E333" s="188"/>
      <c r="F333" s="188"/>
      <c r="G333" s="188"/>
      <c r="H333" s="188"/>
      <c r="I333" s="188"/>
    </row>
    <row r="334" spans="1:9">
      <c r="A334" s="182"/>
      <c r="B334" s="188"/>
      <c r="C334" s="188"/>
      <c r="D334" s="188"/>
      <c r="E334" s="188"/>
      <c r="F334" s="188"/>
      <c r="G334" s="188"/>
      <c r="H334" s="188"/>
      <c r="I334" s="188"/>
    </row>
    <row r="335" spans="1:9">
      <c r="A335" s="182"/>
      <c r="B335" s="188"/>
      <c r="C335" s="188"/>
      <c r="D335" s="188"/>
      <c r="E335" s="188"/>
      <c r="F335" s="188"/>
      <c r="G335" s="188"/>
      <c r="H335" s="188"/>
      <c r="I335" s="188"/>
    </row>
    <row r="336" spans="1:9">
      <c r="A336" s="182"/>
      <c r="B336" s="188"/>
      <c r="C336" s="188"/>
      <c r="D336" s="188"/>
      <c r="E336" s="188"/>
      <c r="F336" s="188"/>
      <c r="G336" s="188"/>
      <c r="H336" s="188"/>
      <c r="I336" s="188"/>
    </row>
    <row r="337" spans="1:9">
      <c r="A337" s="182"/>
      <c r="B337" s="188"/>
      <c r="C337" s="188"/>
      <c r="D337" s="188"/>
      <c r="E337" s="188"/>
      <c r="F337" s="188"/>
      <c r="G337" s="188"/>
      <c r="H337" s="188"/>
      <c r="I337" s="188"/>
    </row>
    <row r="338" spans="1:9">
      <c r="A338" s="182"/>
      <c r="B338" s="188"/>
      <c r="C338" s="188"/>
      <c r="D338" s="188"/>
      <c r="E338" s="188"/>
      <c r="F338" s="188"/>
      <c r="G338" s="188"/>
      <c r="H338" s="188"/>
      <c r="I338" s="188"/>
    </row>
    <row r="339" spans="1:9">
      <c r="A339" s="182"/>
      <c r="B339" s="188"/>
      <c r="C339" s="188"/>
      <c r="D339" s="188"/>
      <c r="E339" s="188"/>
      <c r="F339" s="188"/>
      <c r="G339" s="188"/>
      <c r="H339" s="188"/>
      <c r="I339" s="188"/>
    </row>
    <row r="340" spans="1:9">
      <c r="A340" s="182"/>
      <c r="B340" s="188"/>
      <c r="C340" s="188"/>
      <c r="D340" s="188"/>
      <c r="E340" s="188"/>
      <c r="F340" s="188"/>
      <c r="G340" s="188"/>
      <c r="H340" s="188"/>
      <c r="I340" s="188"/>
    </row>
    <row r="341" spans="1:9">
      <c r="A341" s="182"/>
      <c r="B341" s="188"/>
      <c r="C341" s="188"/>
      <c r="D341" s="188"/>
      <c r="E341" s="188"/>
      <c r="F341" s="188"/>
      <c r="G341" s="188"/>
      <c r="H341" s="188"/>
      <c r="I341" s="188"/>
    </row>
    <row r="342" spans="1:9">
      <c r="A342" s="182"/>
      <c r="B342" s="188"/>
      <c r="C342" s="188"/>
      <c r="D342" s="188"/>
      <c r="E342" s="188"/>
      <c r="F342" s="188"/>
      <c r="G342" s="188"/>
      <c r="H342" s="188"/>
      <c r="I342" s="188"/>
    </row>
    <row r="343" spans="1:9">
      <c r="A343" s="182"/>
      <c r="B343" s="188"/>
      <c r="C343" s="188"/>
      <c r="D343" s="188"/>
      <c r="E343" s="188"/>
      <c r="F343" s="188"/>
      <c r="G343" s="188"/>
      <c r="H343" s="188"/>
      <c r="I343" s="188"/>
    </row>
    <row r="344" spans="1:9">
      <c r="A344" s="182"/>
      <c r="B344" s="188"/>
      <c r="C344" s="188"/>
      <c r="D344" s="188"/>
      <c r="E344" s="188"/>
      <c r="F344" s="188"/>
      <c r="G344" s="188"/>
      <c r="H344" s="188"/>
      <c r="I344" s="188"/>
    </row>
    <row r="345" spans="1:9">
      <c r="A345" s="182"/>
      <c r="B345" s="188"/>
      <c r="C345" s="188"/>
      <c r="D345" s="188"/>
      <c r="E345" s="188"/>
      <c r="F345" s="188"/>
      <c r="G345" s="188"/>
      <c r="H345" s="188"/>
      <c r="I345" s="188"/>
    </row>
    <row r="346" spans="1:9">
      <c r="A346" s="182"/>
      <c r="B346" s="188"/>
      <c r="C346" s="188"/>
      <c r="D346" s="188"/>
      <c r="E346" s="188"/>
      <c r="F346" s="188"/>
      <c r="G346" s="188"/>
      <c r="H346" s="188"/>
      <c r="I346" s="188"/>
    </row>
    <row r="347" spans="1:9">
      <c r="A347" s="182"/>
      <c r="B347" s="188"/>
      <c r="C347" s="188"/>
      <c r="D347" s="188"/>
      <c r="E347" s="188"/>
      <c r="F347" s="188"/>
      <c r="G347" s="188"/>
      <c r="H347" s="188"/>
      <c r="I347" s="188"/>
    </row>
    <row r="348" spans="1:9">
      <c r="A348" s="182"/>
      <c r="B348" s="188"/>
      <c r="C348" s="188"/>
      <c r="D348" s="188"/>
      <c r="E348" s="188"/>
      <c r="F348" s="188"/>
      <c r="G348" s="188"/>
      <c r="H348" s="188"/>
      <c r="I348" s="188"/>
    </row>
    <row r="349" spans="1:9">
      <c r="A349" s="182"/>
      <c r="B349" s="188"/>
      <c r="C349" s="188"/>
      <c r="D349" s="188"/>
      <c r="E349" s="188"/>
      <c r="F349" s="188"/>
      <c r="G349" s="188"/>
      <c r="H349" s="188"/>
      <c r="I349" s="188"/>
    </row>
    <row r="350" spans="1:9">
      <c r="A350" s="182"/>
      <c r="B350" s="188"/>
      <c r="C350" s="188"/>
      <c r="D350" s="188"/>
      <c r="E350" s="188"/>
      <c r="F350" s="188"/>
      <c r="G350" s="188"/>
      <c r="H350" s="188"/>
      <c r="I350" s="188"/>
    </row>
    <row r="351" spans="1:9">
      <c r="A351" s="182"/>
      <c r="B351" s="188"/>
      <c r="C351" s="188"/>
      <c r="D351" s="188"/>
      <c r="E351" s="188"/>
      <c r="F351" s="188"/>
      <c r="G351" s="188"/>
      <c r="H351" s="188"/>
      <c r="I351" s="188"/>
    </row>
    <row r="352" spans="1:9">
      <c r="A352" s="182"/>
      <c r="B352" s="188"/>
      <c r="C352" s="188"/>
      <c r="D352" s="188"/>
      <c r="E352" s="188"/>
      <c r="F352" s="188"/>
      <c r="G352" s="188"/>
      <c r="H352" s="188"/>
      <c r="I352" s="188"/>
    </row>
    <row r="353" spans="1:9">
      <c r="A353" s="182"/>
      <c r="B353" s="188"/>
      <c r="C353" s="188"/>
      <c r="D353" s="188"/>
      <c r="E353" s="188"/>
      <c r="F353" s="188"/>
      <c r="G353" s="188"/>
      <c r="H353" s="188"/>
      <c r="I353" s="188"/>
    </row>
    <row r="354" spans="1:9">
      <c r="A354" s="182"/>
      <c r="B354" s="188"/>
      <c r="C354" s="188"/>
      <c r="D354" s="188"/>
      <c r="E354" s="188"/>
      <c r="F354" s="188"/>
      <c r="G354" s="188"/>
      <c r="H354" s="188"/>
      <c r="I354" s="188"/>
    </row>
    <row r="355" spans="1:9">
      <c r="A355" s="182"/>
      <c r="B355" s="188"/>
      <c r="C355" s="188"/>
      <c r="D355" s="188"/>
      <c r="E355" s="188"/>
      <c r="F355" s="188"/>
      <c r="G355" s="188"/>
      <c r="H355" s="188"/>
      <c r="I355" s="188"/>
    </row>
    <row r="356" spans="1:9">
      <c r="A356" s="182"/>
      <c r="B356" s="188"/>
      <c r="C356" s="188"/>
      <c r="D356" s="188"/>
      <c r="E356" s="188"/>
      <c r="F356" s="188"/>
      <c r="G356" s="188"/>
      <c r="H356" s="188"/>
      <c r="I356" s="188"/>
    </row>
    <row r="357" spans="1:9">
      <c r="A357" s="182"/>
      <c r="B357" s="188"/>
      <c r="C357" s="188"/>
      <c r="D357" s="188"/>
      <c r="E357" s="188"/>
      <c r="F357" s="188"/>
      <c r="G357" s="188"/>
      <c r="H357" s="188"/>
      <c r="I357" s="188"/>
    </row>
    <row r="358" spans="1:9">
      <c r="A358" s="182"/>
      <c r="B358" s="188"/>
      <c r="C358" s="188"/>
      <c r="D358" s="188"/>
      <c r="E358" s="188"/>
      <c r="F358" s="188"/>
      <c r="G358" s="188"/>
      <c r="H358" s="188"/>
      <c r="I358" s="188"/>
    </row>
    <row r="359" spans="1:9">
      <c r="A359" s="182"/>
      <c r="B359" s="188"/>
      <c r="C359" s="188"/>
      <c r="D359" s="188"/>
      <c r="E359" s="188"/>
      <c r="F359" s="188"/>
      <c r="G359" s="188"/>
      <c r="H359" s="188"/>
      <c r="I359" s="188"/>
    </row>
    <row r="360" spans="1:9">
      <c r="A360" s="182"/>
      <c r="B360" s="188"/>
      <c r="C360" s="188"/>
      <c r="D360" s="188"/>
      <c r="E360" s="188"/>
      <c r="F360" s="188"/>
      <c r="G360" s="188"/>
      <c r="H360" s="188"/>
      <c r="I360" s="188"/>
    </row>
    <row r="361" spans="1:9">
      <c r="A361" s="182"/>
      <c r="B361" s="188"/>
      <c r="C361" s="188"/>
      <c r="D361" s="188"/>
      <c r="E361" s="188"/>
      <c r="F361" s="188"/>
      <c r="G361" s="188"/>
      <c r="H361" s="188"/>
      <c r="I361" s="188"/>
    </row>
    <row r="362" spans="1:9">
      <c r="A362" s="182"/>
      <c r="B362" s="188"/>
      <c r="C362" s="188"/>
      <c r="D362" s="188"/>
      <c r="E362" s="188"/>
      <c r="F362" s="188"/>
      <c r="G362" s="188"/>
      <c r="H362" s="188"/>
      <c r="I362" s="188"/>
    </row>
    <row r="363" spans="1:9">
      <c r="A363" s="182"/>
      <c r="B363" s="188"/>
      <c r="C363" s="188"/>
      <c r="D363" s="188"/>
      <c r="E363" s="188"/>
      <c r="F363" s="188"/>
      <c r="G363" s="188"/>
      <c r="H363" s="188"/>
      <c r="I363" s="188"/>
    </row>
    <row r="364" spans="1:9">
      <c r="A364" s="182"/>
      <c r="B364" s="188"/>
      <c r="C364" s="188"/>
      <c r="D364" s="188"/>
      <c r="E364" s="188"/>
      <c r="F364" s="188"/>
      <c r="G364" s="188"/>
      <c r="H364" s="188"/>
      <c r="I364" s="188"/>
    </row>
    <row r="365" spans="1:9">
      <c r="A365" s="182"/>
      <c r="B365" s="188"/>
      <c r="C365" s="188"/>
      <c r="D365" s="188"/>
      <c r="E365" s="188"/>
      <c r="F365" s="188"/>
      <c r="G365" s="188"/>
      <c r="H365" s="188"/>
      <c r="I365" s="188"/>
    </row>
    <row r="366" spans="1:9">
      <c r="A366" s="182"/>
      <c r="B366" s="188"/>
      <c r="C366" s="188"/>
      <c r="D366" s="188"/>
      <c r="E366" s="188"/>
      <c r="F366" s="188"/>
      <c r="G366" s="188"/>
      <c r="H366" s="188"/>
      <c r="I366" s="188"/>
    </row>
    <row r="367" spans="1:9">
      <c r="A367" s="182"/>
      <c r="B367" s="188"/>
      <c r="C367" s="188"/>
      <c r="D367" s="188"/>
      <c r="E367" s="188"/>
      <c r="F367" s="188"/>
      <c r="G367" s="188"/>
      <c r="H367" s="188"/>
      <c r="I367" s="188"/>
    </row>
    <row r="368" spans="1:9">
      <c r="A368" s="182"/>
      <c r="B368" s="188"/>
      <c r="C368" s="188"/>
      <c r="D368" s="188"/>
      <c r="E368" s="188"/>
      <c r="F368" s="188"/>
      <c r="G368" s="188"/>
      <c r="H368" s="188"/>
      <c r="I368" s="188"/>
    </row>
    <row r="369" spans="1:9">
      <c r="A369" s="182"/>
      <c r="B369" s="188"/>
      <c r="C369" s="188"/>
      <c r="D369" s="188"/>
      <c r="E369" s="188"/>
      <c r="F369" s="188"/>
      <c r="G369" s="188"/>
      <c r="H369" s="188"/>
      <c r="I369" s="188"/>
    </row>
    <row r="370" spans="1:9">
      <c r="A370" s="182"/>
      <c r="B370" s="188"/>
      <c r="C370" s="188"/>
      <c r="D370" s="188"/>
      <c r="E370" s="188"/>
      <c r="F370" s="188"/>
      <c r="G370" s="188"/>
      <c r="H370" s="188"/>
      <c r="I370" s="188"/>
    </row>
    <row r="371" spans="1:9">
      <c r="A371" s="182"/>
      <c r="B371" s="188"/>
      <c r="C371" s="188"/>
      <c r="D371" s="188"/>
      <c r="E371" s="188"/>
      <c r="F371" s="188"/>
      <c r="G371" s="188"/>
      <c r="H371" s="188"/>
      <c r="I371" s="188"/>
    </row>
    <row r="372" spans="1:9">
      <c r="A372" s="182"/>
      <c r="B372" s="188"/>
      <c r="C372" s="188"/>
      <c r="D372" s="188"/>
      <c r="E372" s="188"/>
      <c r="F372" s="188"/>
      <c r="G372" s="188"/>
      <c r="H372" s="188"/>
      <c r="I372" s="188"/>
    </row>
    <row r="373" spans="1:9">
      <c r="A373" s="182"/>
      <c r="B373" s="188"/>
      <c r="C373" s="188"/>
      <c r="D373" s="188"/>
      <c r="E373" s="188"/>
      <c r="F373" s="188"/>
      <c r="G373" s="188"/>
      <c r="H373" s="188"/>
      <c r="I373" s="188"/>
    </row>
    <row r="374" spans="1:9">
      <c r="A374" s="182"/>
      <c r="B374" s="188"/>
      <c r="C374" s="188"/>
      <c r="D374" s="188"/>
      <c r="E374" s="188"/>
      <c r="F374" s="188"/>
      <c r="G374" s="188"/>
      <c r="H374" s="188"/>
      <c r="I374" s="188"/>
    </row>
    <row r="375" spans="1:9">
      <c r="A375" s="182"/>
      <c r="B375" s="188"/>
      <c r="C375" s="188"/>
      <c r="D375" s="188"/>
      <c r="E375" s="188"/>
      <c r="F375" s="188"/>
      <c r="G375" s="188"/>
      <c r="H375" s="188"/>
      <c r="I375" s="188"/>
    </row>
    <row r="376" spans="1:9">
      <c r="A376" s="182"/>
      <c r="B376" s="188"/>
      <c r="C376" s="188"/>
      <c r="D376" s="188"/>
      <c r="E376" s="188"/>
      <c r="F376" s="188"/>
      <c r="G376" s="188"/>
      <c r="H376" s="188"/>
      <c r="I376" s="188"/>
    </row>
    <row r="377" spans="1:9">
      <c r="A377" s="182"/>
      <c r="B377" s="188"/>
      <c r="C377" s="188"/>
      <c r="D377" s="188"/>
      <c r="E377" s="188"/>
      <c r="F377" s="188"/>
      <c r="G377" s="188"/>
      <c r="H377" s="188"/>
      <c r="I377" s="188"/>
    </row>
    <row r="378" spans="1:9">
      <c r="A378" s="182"/>
      <c r="B378" s="188"/>
      <c r="C378" s="188"/>
      <c r="D378" s="188"/>
      <c r="E378" s="188"/>
      <c r="F378" s="188"/>
      <c r="G378" s="188"/>
      <c r="H378" s="188"/>
      <c r="I378" s="188"/>
    </row>
    <row r="379" spans="1:9">
      <c r="A379" s="182"/>
      <c r="B379" s="188"/>
      <c r="C379" s="188"/>
      <c r="D379" s="188"/>
      <c r="E379" s="188"/>
      <c r="F379" s="188"/>
      <c r="G379" s="188"/>
      <c r="H379" s="188"/>
      <c r="I379" s="188"/>
    </row>
    <row r="380" spans="1:9">
      <c r="A380" s="182"/>
      <c r="B380" s="188"/>
      <c r="C380" s="188"/>
      <c r="D380" s="188"/>
      <c r="E380" s="188"/>
      <c r="F380" s="188"/>
      <c r="G380" s="188"/>
      <c r="H380" s="188"/>
      <c r="I380" s="188"/>
    </row>
    <row r="381" spans="1:9">
      <c r="A381" s="182"/>
      <c r="B381" s="188"/>
      <c r="C381" s="188"/>
      <c r="D381" s="188"/>
      <c r="E381" s="188"/>
      <c r="F381" s="188"/>
      <c r="G381" s="188"/>
      <c r="H381" s="188"/>
      <c r="I381" s="188"/>
    </row>
    <row r="382" spans="1:9">
      <c r="A382" s="182"/>
      <c r="B382" s="188"/>
      <c r="C382" s="188"/>
      <c r="D382" s="188"/>
      <c r="E382" s="188"/>
      <c r="F382" s="188"/>
      <c r="G382" s="188"/>
      <c r="H382" s="188"/>
      <c r="I382" s="188"/>
    </row>
    <row r="383" spans="1:9">
      <c r="A383" s="182"/>
      <c r="B383" s="188"/>
      <c r="C383" s="188"/>
      <c r="D383" s="188"/>
      <c r="E383" s="188"/>
      <c r="F383" s="188"/>
      <c r="G383" s="188"/>
      <c r="H383" s="188"/>
      <c r="I383" s="188"/>
    </row>
    <row r="384" spans="1:9">
      <c r="A384" s="182"/>
      <c r="B384" s="188"/>
      <c r="C384" s="188"/>
      <c r="D384" s="188"/>
      <c r="E384" s="188"/>
      <c r="F384" s="188"/>
      <c r="G384" s="188"/>
      <c r="H384" s="188"/>
      <c r="I384" s="188"/>
    </row>
    <row r="385" spans="1:9">
      <c r="A385" s="182"/>
      <c r="B385" s="188"/>
      <c r="C385" s="188"/>
      <c r="D385" s="188"/>
      <c r="E385" s="188"/>
      <c r="F385" s="188"/>
      <c r="G385" s="188"/>
      <c r="H385" s="188"/>
      <c r="I385" s="188"/>
    </row>
    <row r="386" spans="1:9">
      <c r="A386" s="182"/>
      <c r="B386" s="188"/>
      <c r="C386" s="188"/>
      <c r="D386" s="188"/>
      <c r="E386" s="188"/>
      <c r="F386" s="188"/>
      <c r="G386" s="188"/>
      <c r="H386" s="188"/>
      <c r="I386" s="188"/>
    </row>
    <row r="387" spans="1:9">
      <c r="A387" s="182"/>
      <c r="B387" s="188"/>
      <c r="C387" s="188"/>
      <c r="D387" s="188"/>
      <c r="E387" s="188"/>
      <c r="F387" s="188"/>
      <c r="G387" s="188"/>
      <c r="H387" s="188"/>
      <c r="I387" s="188"/>
    </row>
    <row r="388" spans="1:9">
      <c r="A388" s="182"/>
      <c r="B388" s="188"/>
      <c r="C388" s="188"/>
      <c r="D388" s="188"/>
      <c r="E388" s="188"/>
      <c r="F388" s="188"/>
      <c r="G388" s="188"/>
      <c r="H388" s="188"/>
      <c r="I388" s="188"/>
    </row>
    <row r="389" spans="1:9">
      <c r="A389" s="182"/>
      <c r="B389" s="188"/>
      <c r="C389" s="188"/>
      <c r="D389" s="188"/>
      <c r="E389" s="188"/>
      <c r="F389" s="188"/>
      <c r="G389" s="188"/>
      <c r="H389" s="188"/>
      <c r="I389" s="188"/>
    </row>
    <row r="390" spans="1:9">
      <c r="A390" s="182"/>
      <c r="B390" s="188"/>
      <c r="C390" s="188"/>
      <c r="D390" s="188"/>
      <c r="E390" s="188"/>
      <c r="F390" s="188"/>
      <c r="G390" s="188"/>
      <c r="H390" s="188"/>
      <c r="I390" s="188"/>
    </row>
    <row r="391" spans="1:9">
      <c r="A391" s="182"/>
      <c r="B391" s="188"/>
      <c r="C391" s="188"/>
      <c r="D391" s="188"/>
      <c r="E391" s="188"/>
      <c r="F391" s="188"/>
      <c r="G391" s="188"/>
      <c r="H391" s="188"/>
      <c r="I391" s="188"/>
    </row>
    <row r="392" spans="1:9">
      <c r="A392" s="182"/>
      <c r="B392" s="188"/>
      <c r="C392" s="188"/>
      <c r="D392" s="188"/>
      <c r="E392" s="188"/>
      <c r="F392" s="188"/>
      <c r="G392" s="188"/>
      <c r="H392" s="188"/>
      <c r="I392" s="188"/>
    </row>
    <row r="393" spans="1:9">
      <c r="A393" s="182"/>
      <c r="B393" s="188"/>
      <c r="C393" s="188"/>
      <c r="D393" s="188"/>
      <c r="E393" s="188"/>
      <c r="F393" s="188"/>
      <c r="G393" s="188"/>
      <c r="H393" s="188"/>
      <c r="I393" s="188"/>
    </row>
    <row r="394" spans="1:9">
      <c r="A394" s="182"/>
      <c r="B394" s="188"/>
      <c r="C394" s="188"/>
      <c r="D394" s="188"/>
      <c r="E394" s="188"/>
      <c r="F394" s="188"/>
      <c r="G394" s="188"/>
      <c r="H394" s="188"/>
      <c r="I394" s="188"/>
    </row>
    <row r="395" spans="1:9">
      <c r="A395" s="182"/>
      <c r="B395" s="188"/>
      <c r="C395" s="188"/>
      <c r="D395" s="188"/>
      <c r="E395" s="188"/>
      <c r="F395" s="188"/>
      <c r="G395" s="188"/>
      <c r="H395" s="188"/>
      <c r="I395" s="188"/>
    </row>
    <row r="396" spans="1:9">
      <c r="A396" s="182"/>
      <c r="B396" s="188"/>
      <c r="C396" s="188"/>
      <c r="D396" s="188"/>
      <c r="E396" s="188"/>
      <c r="F396" s="188"/>
      <c r="G396" s="188"/>
      <c r="H396" s="188"/>
      <c r="I396" s="188"/>
    </row>
    <row r="397" spans="1:9">
      <c r="A397" s="182"/>
      <c r="B397" s="188"/>
      <c r="C397" s="188"/>
      <c r="D397" s="188"/>
      <c r="E397" s="188"/>
      <c r="F397" s="188"/>
      <c r="G397" s="188"/>
      <c r="H397" s="188"/>
      <c r="I397" s="188"/>
    </row>
    <row r="398" spans="1:9">
      <c r="A398" s="182"/>
      <c r="B398" s="188"/>
      <c r="C398" s="188"/>
      <c r="D398" s="188"/>
      <c r="E398" s="188"/>
      <c r="F398" s="188"/>
      <c r="G398" s="188"/>
      <c r="H398" s="188"/>
      <c r="I398" s="188"/>
    </row>
    <row r="399" spans="1:9">
      <c r="A399" s="182"/>
      <c r="B399" s="188"/>
      <c r="C399" s="188"/>
      <c r="D399" s="188"/>
      <c r="E399" s="188"/>
      <c r="F399" s="188"/>
      <c r="G399" s="188"/>
      <c r="H399" s="188"/>
      <c r="I399" s="188"/>
    </row>
    <row r="400" spans="1:9">
      <c r="A400" s="182"/>
      <c r="B400" s="188"/>
      <c r="C400" s="188"/>
      <c r="D400" s="188"/>
      <c r="E400" s="188"/>
      <c r="F400" s="188"/>
      <c r="G400" s="188"/>
      <c r="H400" s="188"/>
      <c r="I400" s="188"/>
    </row>
    <row r="401" spans="1:9">
      <c r="A401" s="182"/>
      <c r="B401" s="188"/>
      <c r="C401" s="188"/>
      <c r="D401" s="188"/>
      <c r="E401" s="188"/>
      <c r="F401" s="188"/>
      <c r="G401" s="188"/>
      <c r="H401" s="188"/>
      <c r="I401" s="188"/>
    </row>
    <row r="402" spans="1:9">
      <c r="A402" s="182"/>
      <c r="B402" s="188"/>
      <c r="C402" s="188"/>
      <c r="D402" s="188"/>
      <c r="E402" s="188"/>
      <c r="F402" s="188"/>
      <c r="G402" s="188"/>
      <c r="H402" s="188"/>
      <c r="I402" s="188"/>
    </row>
    <row r="403" spans="1:9">
      <c r="A403" s="182"/>
      <c r="B403" s="188"/>
      <c r="C403" s="188"/>
      <c r="D403" s="188"/>
      <c r="E403" s="188"/>
      <c r="F403" s="188"/>
      <c r="G403" s="188"/>
      <c r="H403" s="188"/>
      <c r="I403" s="188"/>
    </row>
    <row r="404" spans="1:9">
      <c r="A404" s="182"/>
      <c r="B404" s="188"/>
      <c r="C404" s="188"/>
      <c r="D404" s="188"/>
      <c r="E404" s="188"/>
      <c r="F404" s="188"/>
      <c r="G404" s="188"/>
      <c r="H404" s="188"/>
      <c r="I404" s="188"/>
    </row>
    <row r="405" spans="1:9">
      <c r="A405" s="182"/>
      <c r="B405" s="188"/>
      <c r="C405" s="188"/>
      <c r="D405" s="188"/>
      <c r="E405" s="188"/>
      <c r="F405" s="188"/>
      <c r="G405" s="188"/>
      <c r="H405" s="188"/>
      <c r="I405" s="188"/>
    </row>
    <row r="406" spans="1:9">
      <c r="A406" s="182"/>
      <c r="B406" s="188"/>
      <c r="C406" s="188"/>
      <c r="D406" s="188"/>
      <c r="E406" s="188"/>
      <c r="F406" s="188"/>
      <c r="G406" s="188"/>
      <c r="H406" s="188"/>
      <c r="I406" s="188"/>
    </row>
    <row r="407" spans="1:9">
      <c r="A407" s="182"/>
      <c r="B407" s="188"/>
      <c r="C407" s="188"/>
      <c r="D407" s="188"/>
      <c r="E407" s="188"/>
      <c r="F407" s="188"/>
      <c r="G407" s="188"/>
      <c r="H407" s="188"/>
      <c r="I407" s="188"/>
    </row>
    <row r="408" spans="1:9">
      <c r="A408" s="182"/>
      <c r="B408" s="188"/>
      <c r="C408" s="188"/>
      <c r="D408" s="188"/>
      <c r="E408" s="188"/>
      <c r="F408" s="188"/>
      <c r="G408" s="188"/>
      <c r="H408" s="188"/>
      <c r="I408" s="188"/>
    </row>
    <row r="409" spans="1:9">
      <c r="A409" s="182"/>
      <c r="B409" s="188"/>
      <c r="C409" s="188"/>
      <c r="D409" s="188"/>
      <c r="E409" s="188"/>
      <c r="F409" s="188"/>
      <c r="G409" s="188"/>
      <c r="H409" s="188"/>
      <c r="I409" s="188"/>
    </row>
    <row r="410" spans="1:9">
      <c r="A410" s="182"/>
      <c r="B410" s="188"/>
      <c r="C410" s="188"/>
      <c r="D410" s="188"/>
      <c r="E410" s="188"/>
      <c r="F410" s="188"/>
      <c r="G410" s="188"/>
      <c r="H410" s="188"/>
      <c r="I410" s="188"/>
    </row>
    <row r="411" spans="1:9">
      <c r="A411" s="182"/>
      <c r="B411" s="188"/>
      <c r="C411" s="188"/>
      <c r="D411" s="188"/>
      <c r="E411" s="188"/>
      <c r="F411" s="188"/>
      <c r="G411" s="188"/>
      <c r="H411" s="188"/>
      <c r="I411" s="188"/>
    </row>
    <row r="412" spans="1:9">
      <c r="A412" s="182"/>
      <c r="B412" s="188"/>
      <c r="C412" s="188"/>
      <c r="D412" s="188"/>
      <c r="E412" s="188"/>
      <c r="F412" s="188"/>
      <c r="G412" s="188"/>
      <c r="H412" s="188"/>
      <c r="I412" s="188"/>
    </row>
    <row r="413" spans="1:9">
      <c r="A413" s="182"/>
      <c r="B413" s="188"/>
      <c r="C413" s="188"/>
      <c r="D413" s="188"/>
      <c r="E413" s="188"/>
      <c r="F413" s="188"/>
      <c r="G413" s="188"/>
      <c r="H413" s="188"/>
      <c r="I413" s="188"/>
    </row>
    <row r="414" spans="1:9">
      <c r="A414" s="182"/>
      <c r="B414" s="188"/>
      <c r="C414" s="188"/>
      <c r="D414" s="188"/>
      <c r="E414" s="188"/>
      <c r="F414" s="188"/>
      <c r="G414" s="188"/>
      <c r="H414" s="188"/>
      <c r="I414" s="188"/>
    </row>
    <row r="415" spans="1:9">
      <c r="A415" s="182"/>
      <c r="B415" s="188"/>
      <c r="C415" s="188"/>
      <c r="D415" s="188"/>
      <c r="E415" s="188"/>
      <c r="F415" s="188"/>
      <c r="G415" s="188"/>
      <c r="H415" s="188"/>
      <c r="I415" s="188"/>
    </row>
    <row r="416" spans="1:9">
      <c r="A416" s="182"/>
      <c r="B416" s="188"/>
      <c r="C416" s="188"/>
      <c r="D416" s="188"/>
      <c r="E416" s="188"/>
      <c r="F416" s="188"/>
      <c r="G416" s="188"/>
      <c r="H416" s="188"/>
      <c r="I416" s="188"/>
    </row>
    <row r="417" spans="1:9">
      <c r="A417" s="182"/>
      <c r="B417" s="188"/>
      <c r="C417" s="188"/>
      <c r="D417" s="188"/>
      <c r="E417" s="188"/>
      <c r="F417" s="188"/>
      <c r="G417" s="188"/>
      <c r="H417" s="188"/>
      <c r="I417" s="188"/>
    </row>
    <row r="418" spans="1:9">
      <c r="A418" s="182"/>
      <c r="B418" s="188"/>
      <c r="C418" s="188"/>
      <c r="D418" s="188"/>
      <c r="E418" s="188"/>
      <c r="F418" s="188"/>
      <c r="G418" s="188"/>
      <c r="H418" s="188"/>
      <c r="I418" s="188"/>
    </row>
    <row r="419" spans="1:9">
      <c r="A419" s="182"/>
      <c r="B419" s="188"/>
      <c r="C419" s="188"/>
      <c r="D419" s="188"/>
      <c r="E419" s="188"/>
      <c r="F419" s="188"/>
      <c r="G419" s="188"/>
      <c r="H419" s="188"/>
      <c r="I419" s="188"/>
    </row>
    <row r="420" spans="1:9">
      <c r="A420" s="182"/>
      <c r="B420" s="188"/>
      <c r="C420" s="188"/>
      <c r="D420" s="188"/>
      <c r="E420" s="188"/>
      <c r="F420" s="188"/>
      <c r="G420" s="188"/>
      <c r="H420" s="188"/>
      <c r="I420" s="188"/>
    </row>
    <row r="421" spans="1:9">
      <c r="A421" s="182"/>
      <c r="B421" s="188"/>
      <c r="C421" s="188"/>
      <c r="D421" s="188"/>
      <c r="E421" s="188"/>
      <c r="F421" s="188"/>
      <c r="G421" s="188"/>
      <c r="H421" s="188"/>
      <c r="I421" s="188"/>
    </row>
    <row r="422" spans="1:9">
      <c r="A422" s="182"/>
      <c r="B422" s="188"/>
      <c r="C422" s="188"/>
      <c r="D422" s="188"/>
      <c r="E422" s="188"/>
      <c r="F422" s="188"/>
      <c r="G422" s="188"/>
      <c r="H422" s="188"/>
      <c r="I422" s="188"/>
    </row>
    <row r="423" spans="1:9">
      <c r="A423" s="182"/>
      <c r="B423" s="188"/>
      <c r="C423" s="188"/>
      <c r="D423" s="188"/>
      <c r="E423" s="188"/>
      <c r="F423" s="188"/>
      <c r="G423" s="188"/>
      <c r="H423" s="188"/>
      <c r="I423" s="188"/>
    </row>
    <row r="424" spans="1:9">
      <c r="A424" s="182"/>
      <c r="B424" s="188"/>
      <c r="C424" s="188"/>
      <c r="D424" s="188"/>
      <c r="E424" s="188"/>
      <c r="F424" s="188"/>
      <c r="G424" s="188"/>
      <c r="H424" s="188"/>
      <c r="I424" s="188"/>
    </row>
    <row r="425" spans="1:9">
      <c r="A425" s="182"/>
      <c r="B425" s="188"/>
      <c r="C425" s="188"/>
      <c r="D425" s="188"/>
      <c r="E425" s="188"/>
      <c r="F425" s="188"/>
      <c r="G425" s="188"/>
      <c r="H425" s="188"/>
      <c r="I425" s="188"/>
    </row>
    <row r="426" spans="1:9">
      <c r="A426" s="182"/>
      <c r="B426" s="188"/>
      <c r="C426" s="188"/>
      <c r="D426" s="188"/>
      <c r="E426" s="188"/>
      <c r="F426" s="188"/>
      <c r="G426" s="188"/>
      <c r="H426" s="188"/>
      <c r="I426" s="188"/>
    </row>
    <row r="427" spans="1:9">
      <c r="A427" s="184"/>
    </row>
    <row r="428" spans="1:9">
      <c r="A428" s="182"/>
    </row>
    <row r="429" spans="1:9">
      <c r="A429" s="182"/>
    </row>
    <row r="430" spans="1:9">
      <c r="A430" s="182"/>
    </row>
    <row r="431" spans="1:9">
      <c r="A431" s="182"/>
    </row>
    <row r="432" spans="1:9">
      <c r="A432" s="182"/>
    </row>
    <row r="433" spans="1:1">
      <c r="A433" s="182"/>
    </row>
    <row r="434" spans="1:1">
      <c r="A434" s="182"/>
    </row>
    <row r="435" spans="1:1">
      <c r="A435" s="182"/>
    </row>
    <row r="436" spans="1:1">
      <c r="A436" s="183"/>
    </row>
    <row r="437" spans="1:1">
      <c r="A437" s="183"/>
    </row>
    <row r="438" spans="1:1">
      <c r="A438" s="183"/>
    </row>
    <row r="439" spans="1:1">
      <c r="A439" s="190"/>
    </row>
  </sheetData>
  <pageMargins left="0.7" right="0.7" top="0.5" bottom="0.4" header="0.3" footer="0.3"/>
  <pageSetup scale="68" orientation="landscape" r:id="rId1"/>
  <headerFooter alignWithMargins="0">
    <oddFooter>&amp;R&amp;10&amp;P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 published="0" codeName="Sheet18">
    <pageSetUpPr fitToPage="1"/>
  </sheetPr>
  <dimension ref="A1:N486"/>
  <sheetViews>
    <sheetView showGridLines="0" view="pageBreakPreview" zoomScale="80" zoomScaleNormal="80" zoomScaleSheetLayoutView="80" zoomScalePageLayoutView="80" workbookViewId="0">
      <selection activeCell="A44" sqref="A44:F47"/>
    </sheetView>
  </sheetViews>
  <sheetFormatPr defaultColWidth="7.5546875" defaultRowHeight="15"/>
  <cols>
    <col min="1" max="1" width="8.83203125" style="114" customWidth="1"/>
    <col min="2" max="2" width="12.6640625" style="114" customWidth="1"/>
    <col min="3" max="3" width="24.6640625" style="139" customWidth="1"/>
    <col min="4" max="5" width="12.6640625" style="131" customWidth="1"/>
    <col min="6" max="6" width="18.6640625" style="114" customWidth="1"/>
    <col min="7" max="7" width="24.6640625" style="114" customWidth="1"/>
    <col min="8" max="8" width="12.6640625" style="114" customWidth="1"/>
    <col min="9" max="11" width="15.44140625" style="114" customWidth="1"/>
    <col min="12" max="12" width="19.6640625" style="114" customWidth="1"/>
    <col min="13" max="13" width="7.5546875" style="114"/>
    <col min="14" max="14" width="9.44140625" style="114" bestFit="1" customWidth="1"/>
    <col min="15" max="16384" width="7.5546875" style="114"/>
  </cols>
  <sheetData>
    <row r="1" spans="1:14" ht="17.649999999999999">
      <c r="A1" s="44" t="str">
        <f>'Sources and Use'!A1</f>
        <v>MDG Design and Construction</v>
      </c>
      <c r="B1" s="44"/>
      <c r="C1" s="44"/>
      <c r="D1" s="194" t="s">
        <v>131</v>
      </c>
      <c r="E1" s="195">
        <f>permloanamount</f>
        <v>4725000</v>
      </c>
      <c r="F1" s="44"/>
      <c r="G1" s="44"/>
      <c r="H1" s="44"/>
      <c r="I1" s="186" t="str">
        <f>'Mortgage - Yearly'!G1</f>
        <v>All-In Rate</v>
      </c>
      <c r="J1" s="220">
        <f>'Mortgage - Yearly'!H1</f>
        <v>0.05</v>
      </c>
      <c r="K1" s="220"/>
      <c r="L1" s="214"/>
      <c r="M1" s="111"/>
    </row>
    <row r="2" spans="1:14" ht="17.649999999999999">
      <c r="A2" s="44" t="str">
        <f>'Sources and Use'!A2</f>
        <v>Virgin Islands: Piggy/Hamilton RAD</v>
      </c>
      <c r="B2" s="44"/>
      <c r="C2" s="44"/>
      <c r="D2" s="186" t="s">
        <v>62</v>
      </c>
      <c r="E2" s="189">
        <f>'Debt Sizing'!L29</f>
        <v>30</v>
      </c>
      <c r="F2" s="44"/>
      <c r="G2" s="44"/>
      <c r="H2" s="44"/>
      <c r="I2" s="186"/>
      <c r="J2" s="214"/>
      <c r="K2" s="214"/>
      <c r="L2" s="235"/>
    </row>
    <row r="3" spans="1:14" ht="18" thickBot="1">
      <c r="A3" s="46" t="str">
        <f>'Sources and Use'!A3</f>
        <v>4% LIHTC and FEMA/CDBG-DR</v>
      </c>
      <c r="B3" s="46"/>
      <c r="C3" s="46"/>
      <c r="D3" s="187" t="s">
        <v>125</v>
      </c>
      <c r="E3" s="196">
        <f>'Debt Sizing'!L30</f>
        <v>30</v>
      </c>
      <c r="F3" s="196"/>
      <c r="G3" s="46"/>
      <c r="H3" s="46"/>
      <c r="I3" s="187"/>
      <c r="J3" s="221"/>
      <c r="K3" s="221"/>
      <c r="L3" s="221"/>
      <c r="M3" s="111"/>
      <c r="N3" s="236"/>
    </row>
    <row r="4" spans="1:14">
      <c r="A4" s="48" t="s">
        <v>140</v>
      </c>
      <c r="B4" s="48"/>
      <c r="C4" s="48"/>
      <c r="D4" s="48"/>
      <c r="E4" s="48"/>
      <c r="F4" s="48"/>
      <c r="G4" s="48"/>
      <c r="H4" s="48"/>
      <c r="I4" s="237">
        <v>0</v>
      </c>
      <c r="J4" s="237">
        <v>0</v>
      </c>
      <c r="K4" s="48"/>
      <c r="L4" s="48"/>
      <c r="M4" s="198"/>
    </row>
    <row r="5" spans="1:14" s="119" customFormat="1">
      <c r="B5" s="181"/>
      <c r="C5" s="179"/>
      <c r="D5" s="180"/>
      <c r="E5" s="180"/>
      <c r="M5" s="197"/>
    </row>
    <row r="6" spans="1:14" s="184" customFormat="1">
      <c r="A6" s="191" t="s">
        <v>42</v>
      </c>
      <c r="B6" s="191" t="s">
        <v>163</v>
      </c>
      <c r="C6" s="193" t="s">
        <v>143</v>
      </c>
      <c r="D6" s="192" t="s">
        <v>78</v>
      </c>
      <c r="E6" s="185" t="s">
        <v>141</v>
      </c>
      <c r="F6" s="185" t="s">
        <v>148</v>
      </c>
      <c r="G6" s="185" t="s">
        <v>142</v>
      </c>
      <c r="H6" s="185" t="s">
        <v>111</v>
      </c>
      <c r="I6" s="185" t="s">
        <v>144</v>
      </c>
      <c r="J6" s="185" t="s">
        <v>180</v>
      </c>
      <c r="K6" s="185" t="s">
        <v>164</v>
      </c>
      <c r="L6" s="185" t="s">
        <v>145</v>
      </c>
    </row>
    <row r="7" spans="1:14">
      <c r="A7" s="114">
        <v>1</v>
      </c>
      <c r="B7" s="182">
        <v>1</v>
      </c>
      <c r="C7" s="188">
        <f>E1</f>
        <v>4725000</v>
      </c>
      <c r="D7" s="188">
        <f t="shared" ref="D7:D70" si="0">(C7*$J$1)/12</f>
        <v>19687.5</v>
      </c>
      <c r="E7" s="188">
        <f>(F7-D7)</f>
        <v>5677.3216873235724</v>
      </c>
      <c r="F7" s="188">
        <f t="shared" ref="F7:F70" si="1">PMT($J$1/12,$E$3*12,-$C$7,0)</f>
        <v>25364.821687323572</v>
      </c>
      <c r="G7" s="188">
        <f t="shared" ref="G7:G70" si="2">C7-E7</f>
        <v>4719322.678312676</v>
      </c>
      <c r="H7" s="188">
        <f>G18*J$2/12</f>
        <v>0</v>
      </c>
      <c r="I7" s="188">
        <f>(($C$7*$J$3)/12)</f>
        <v>0</v>
      </c>
      <c r="J7" s="188">
        <f t="shared" ref="J7:J18" si="3">(($C$7*$J$4)/12)</f>
        <v>0</v>
      </c>
      <c r="K7" s="188">
        <f>SUM(I7:J7)</f>
        <v>0</v>
      </c>
      <c r="L7" s="188">
        <f>F7+H7+K7</f>
        <v>25364.821687323572</v>
      </c>
    </row>
    <row r="8" spans="1:14">
      <c r="A8" s="114">
        <v>1</v>
      </c>
      <c r="B8" s="182">
        <f>B7+1</f>
        <v>2</v>
      </c>
      <c r="C8" s="188">
        <f t="shared" ref="C8:C71" si="4">G7</f>
        <v>4719322.678312676</v>
      </c>
      <c r="D8" s="188">
        <f t="shared" si="0"/>
        <v>19663.844492969485</v>
      </c>
      <c r="E8" s="188">
        <f>(F8-D8)</f>
        <v>5700.9771943540873</v>
      </c>
      <c r="F8" s="188">
        <f t="shared" si="1"/>
        <v>25364.821687323572</v>
      </c>
      <c r="G8" s="188">
        <f t="shared" si="2"/>
        <v>4713621.7011183221</v>
      </c>
      <c r="H8" s="188">
        <f>G18*J$2/12</f>
        <v>0</v>
      </c>
      <c r="I8" s="188">
        <f t="shared" ref="I8:I18" si="5">(($C$7*$J$3)/12)</f>
        <v>0</v>
      </c>
      <c r="J8" s="188">
        <f t="shared" si="3"/>
        <v>0</v>
      </c>
      <c r="K8" s="188">
        <f t="shared" ref="K8:K71" si="6">SUM(I8:J8)</f>
        <v>0</v>
      </c>
      <c r="L8" s="188">
        <f t="shared" ref="L8:L71" si="7">F8+H8+K8</f>
        <v>25364.821687323572</v>
      </c>
    </row>
    <row r="9" spans="1:14">
      <c r="A9" s="114">
        <v>1</v>
      </c>
      <c r="B9" s="182">
        <f t="shared" ref="B9:B72" si="8">B8+1</f>
        <v>3</v>
      </c>
      <c r="C9" s="188">
        <f t="shared" si="4"/>
        <v>4713621.7011183221</v>
      </c>
      <c r="D9" s="188">
        <f t="shared" si="0"/>
        <v>19640.090421326342</v>
      </c>
      <c r="E9" s="188">
        <f t="shared" ref="E9:E72" si="9">(F9-D9)</f>
        <v>5724.7312659972304</v>
      </c>
      <c r="F9" s="188">
        <f t="shared" si="1"/>
        <v>25364.821687323572</v>
      </c>
      <c r="G9" s="188">
        <f t="shared" si="2"/>
        <v>4707896.9698523246</v>
      </c>
      <c r="H9" s="188">
        <f>G18*J$2/12</f>
        <v>0</v>
      </c>
      <c r="I9" s="188">
        <f t="shared" si="5"/>
        <v>0</v>
      </c>
      <c r="J9" s="188">
        <f t="shared" si="3"/>
        <v>0</v>
      </c>
      <c r="K9" s="188">
        <f t="shared" si="6"/>
        <v>0</v>
      </c>
      <c r="L9" s="188">
        <f t="shared" si="7"/>
        <v>25364.821687323572</v>
      </c>
    </row>
    <row r="10" spans="1:14">
      <c r="A10" s="114">
        <v>1</v>
      </c>
      <c r="B10" s="182">
        <f t="shared" si="8"/>
        <v>4</v>
      </c>
      <c r="C10" s="188">
        <f t="shared" si="4"/>
        <v>4707896.9698523246</v>
      </c>
      <c r="D10" s="188">
        <f t="shared" si="0"/>
        <v>19616.237374384687</v>
      </c>
      <c r="E10" s="188">
        <f t="shared" si="9"/>
        <v>5748.584312938885</v>
      </c>
      <c r="F10" s="188">
        <f t="shared" si="1"/>
        <v>25364.821687323572</v>
      </c>
      <c r="G10" s="188">
        <f t="shared" si="2"/>
        <v>4702148.3855393855</v>
      </c>
      <c r="H10" s="188">
        <f>G18*J$2/12</f>
        <v>0</v>
      </c>
      <c r="I10" s="188">
        <f t="shared" si="5"/>
        <v>0</v>
      </c>
      <c r="J10" s="188">
        <f t="shared" si="3"/>
        <v>0</v>
      </c>
      <c r="K10" s="188">
        <f t="shared" si="6"/>
        <v>0</v>
      </c>
      <c r="L10" s="188">
        <f t="shared" si="7"/>
        <v>25364.821687323572</v>
      </c>
    </row>
    <row r="11" spans="1:14">
      <c r="A11" s="114">
        <v>1</v>
      </c>
      <c r="B11" s="182">
        <f t="shared" si="8"/>
        <v>5</v>
      </c>
      <c r="C11" s="188">
        <f t="shared" si="4"/>
        <v>4702148.3855393855</v>
      </c>
      <c r="D11" s="188">
        <f t="shared" si="0"/>
        <v>19592.284939747438</v>
      </c>
      <c r="E11" s="188">
        <f t="shared" si="9"/>
        <v>5772.5367475761341</v>
      </c>
      <c r="F11" s="188">
        <f t="shared" si="1"/>
        <v>25364.821687323572</v>
      </c>
      <c r="G11" s="188">
        <f t="shared" si="2"/>
        <v>4696375.8487918098</v>
      </c>
      <c r="H11" s="188">
        <f>G18*J$2/12</f>
        <v>0</v>
      </c>
      <c r="I11" s="188">
        <f t="shared" si="5"/>
        <v>0</v>
      </c>
      <c r="J11" s="188">
        <f t="shared" si="3"/>
        <v>0</v>
      </c>
      <c r="K11" s="188">
        <f t="shared" si="6"/>
        <v>0</v>
      </c>
      <c r="L11" s="188">
        <f t="shared" si="7"/>
        <v>25364.821687323572</v>
      </c>
    </row>
    <row r="12" spans="1:14">
      <c r="A12" s="114">
        <v>1</v>
      </c>
      <c r="B12" s="182">
        <f t="shared" si="8"/>
        <v>6</v>
      </c>
      <c r="C12" s="188">
        <f t="shared" si="4"/>
        <v>4696375.8487918098</v>
      </c>
      <c r="D12" s="188">
        <f t="shared" si="0"/>
        <v>19568.232703299207</v>
      </c>
      <c r="E12" s="188">
        <f t="shared" si="9"/>
        <v>5796.5889840243653</v>
      </c>
      <c r="F12" s="188">
        <f t="shared" si="1"/>
        <v>25364.821687323572</v>
      </c>
      <c r="G12" s="188">
        <f t="shared" si="2"/>
        <v>4690579.259807785</v>
      </c>
      <c r="H12" s="188">
        <f>G18*J$2/12</f>
        <v>0</v>
      </c>
      <c r="I12" s="188">
        <f t="shared" si="5"/>
        <v>0</v>
      </c>
      <c r="J12" s="188">
        <f t="shared" si="3"/>
        <v>0</v>
      </c>
      <c r="K12" s="188">
        <f t="shared" si="6"/>
        <v>0</v>
      </c>
      <c r="L12" s="188">
        <f t="shared" si="7"/>
        <v>25364.821687323572</v>
      </c>
    </row>
    <row r="13" spans="1:14">
      <c r="A13" s="114">
        <v>1</v>
      </c>
      <c r="B13" s="182">
        <f t="shared" si="8"/>
        <v>7</v>
      </c>
      <c r="C13" s="188">
        <f t="shared" si="4"/>
        <v>4690579.259807785</v>
      </c>
      <c r="D13" s="188">
        <f t="shared" si="0"/>
        <v>19544.080249199105</v>
      </c>
      <c r="E13" s="188">
        <f t="shared" si="9"/>
        <v>5820.7414381244671</v>
      </c>
      <c r="F13" s="188">
        <f t="shared" si="1"/>
        <v>25364.821687323572</v>
      </c>
      <c r="G13" s="188">
        <f t="shared" si="2"/>
        <v>4684758.5183696607</v>
      </c>
      <c r="H13" s="188">
        <f>G18*J$2/12</f>
        <v>0</v>
      </c>
      <c r="I13" s="188">
        <f t="shared" si="5"/>
        <v>0</v>
      </c>
      <c r="J13" s="188">
        <f t="shared" si="3"/>
        <v>0</v>
      </c>
      <c r="K13" s="188">
        <f t="shared" si="6"/>
        <v>0</v>
      </c>
      <c r="L13" s="188">
        <f t="shared" si="7"/>
        <v>25364.821687323572</v>
      </c>
    </row>
    <row r="14" spans="1:14">
      <c r="A14" s="114">
        <v>1</v>
      </c>
      <c r="B14" s="182">
        <f t="shared" si="8"/>
        <v>8</v>
      </c>
      <c r="C14" s="188">
        <f t="shared" si="4"/>
        <v>4684758.5183696607</v>
      </c>
      <c r="D14" s="188">
        <f t="shared" si="0"/>
        <v>19519.827159873588</v>
      </c>
      <c r="E14" s="188">
        <f t="shared" si="9"/>
        <v>5844.9945274499842</v>
      </c>
      <c r="F14" s="188">
        <f t="shared" si="1"/>
        <v>25364.821687323572</v>
      </c>
      <c r="G14" s="188">
        <f t="shared" si="2"/>
        <v>4678913.5238422109</v>
      </c>
      <c r="H14" s="188">
        <f>G18*J$2/12</f>
        <v>0</v>
      </c>
      <c r="I14" s="188">
        <f t="shared" si="5"/>
        <v>0</v>
      </c>
      <c r="J14" s="188">
        <f t="shared" si="3"/>
        <v>0</v>
      </c>
      <c r="K14" s="188">
        <f t="shared" si="6"/>
        <v>0</v>
      </c>
      <c r="L14" s="188">
        <f t="shared" si="7"/>
        <v>25364.821687323572</v>
      </c>
    </row>
    <row r="15" spans="1:14">
      <c r="A15" s="114">
        <v>1</v>
      </c>
      <c r="B15" s="182">
        <f t="shared" si="8"/>
        <v>9</v>
      </c>
      <c r="C15" s="188">
        <f t="shared" si="4"/>
        <v>4678913.5238422109</v>
      </c>
      <c r="D15" s="188">
        <f t="shared" si="0"/>
        <v>19495.473016009211</v>
      </c>
      <c r="E15" s="188">
        <f t="shared" si="9"/>
        <v>5869.3486713143611</v>
      </c>
      <c r="F15" s="188">
        <f t="shared" si="1"/>
        <v>25364.821687323572</v>
      </c>
      <c r="G15" s="188">
        <f t="shared" si="2"/>
        <v>4673044.1751708966</v>
      </c>
      <c r="H15" s="188">
        <f>G18*J$2/12</f>
        <v>0</v>
      </c>
      <c r="I15" s="188">
        <f t="shared" si="5"/>
        <v>0</v>
      </c>
      <c r="J15" s="188">
        <f t="shared" si="3"/>
        <v>0</v>
      </c>
      <c r="K15" s="188">
        <f t="shared" si="6"/>
        <v>0</v>
      </c>
      <c r="L15" s="188">
        <f t="shared" si="7"/>
        <v>25364.821687323572</v>
      </c>
    </row>
    <row r="16" spans="1:14">
      <c r="A16" s="114">
        <v>1</v>
      </c>
      <c r="B16" s="182">
        <f t="shared" si="8"/>
        <v>10</v>
      </c>
      <c r="C16" s="188">
        <f t="shared" si="4"/>
        <v>4673044.1751708966</v>
      </c>
      <c r="D16" s="188">
        <f t="shared" si="0"/>
        <v>19471.017396545405</v>
      </c>
      <c r="E16" s="188">
        <f t="shared" si="9"/>
        <v>5893.8042907781673</v>
      </c>
      <c r="F16" s="188">
        <f t="shared" si="1"/>
        <v>25364.821687323572</v>
      </c>
      <c r="G16" s="188">
        <f t="shared" si="2"/>
        <v>4667150.3708801186</v>
      </c>
      <c r="H16" s="188">
        <f>G18*J$2/12</f>
        <v>0</v>
      </c>
      <c r="I16" s="188">
        <f t="shared" si="5"/>
        <v>0</v>
      </c>
      <c r="J16" s="188">
        <f t="shared" si="3"/>
        <v>0</v>
      </c>
      <c r="K16" s="188">
        <f t="shared" si="6"/>
        <v>0</v>
      </c>
      <c r="L16" s="188">
        <f t="shared" si="7"/>
        <v>25364.821687323572</v>
      </c>
    </row>
    <row r="17" spans="1:12">
      <c r="A17" s="114">
        <v>1</v>
      </c>
      <c r="B17" s="182">
        <f t="shared" si="8"/>
        <v>11</v>
      </c>
      <c r="C17" s="188">
        <f t="shared" si="4"/>
        <v>4667150.3708801186</v>
      </c>
      <c r="D17" s="188">
        <f t="shared" si="0"/>
        <v>19446.45987866716</v>
      </c>
      <c r="E17" s="188">
        <f t="shared" si="9"/>
        <v>5918.3618086564129</v>
      </c>
      <c r="F17" s="188">
        <f t="shared" si="1"/>
        <v>25364.821687323572</v>
      </c>
      <c r="G17" s="188">
        <f t="shared" si="2"/>
        <v>4661232.0090714619</v>
      </c>
      <c r="H17" s="188">
        <f>G18*J$2/12</f>
        <v>0</v>
      </c>
      <c r="I17" s="188">
        <f t="shared" si="5"/>
        <v>0</v>
      </c>
      <c r="J17" s="188">
        <f t="shared" si="3"/>
        <v>0</v>
      </c>
      <c r="K17" s="188">
        <f t="shared" si="6"/>
        <v>0</v>
      </c>
      <c r="L17" s="188">
        <f t="shared" si="7"/>
        <v>25364.821687323572</v>
      </c>
    </row>
    <row r="18" spans="1:12">
      <c r="A18" s="238">
        <v>1</v>
      </c>
      <c r="B18" s="239">
        <f t="shared" si="8"/>
        <v>12</v>
      </c>
      <c r="C18" s="240">
        <f t="shared" si="4"/>
        <v>4661232.0090714619</v>
      </c>
      <c r="D18" s="240">
        <f t="shared" si="0"/>
        <v>19421.800037797759</v>
      </c>
      <c r="E18" s="240">
        <f t="shared" si="9"/>
        <v>5943.0216495258137</v>
      </c>
      <c r="F18" s="240">
        <f t="shared" si="1"/>
        <v>25364.821687323572</v>
      </c>
      <c r="G18" s="240">
        <f t="shared" si="2"/>
        <v>4655288.9874219364</v>
      </c>
      <c r="H18" s="240">
        <f>G18*J$2/12</f>
        <v>0</v>
      </c>
      <c r="I18" s="188">
        <f t="shared" si="5"/>
        <v>0</v>
      </c>
      <c r="J18" s="240">
        <f t="shared" si="3"/>
        <v>0</v>
      </c>
      <c r="K18" s="240">
        <f t="shared" si="6"/>
        <v>0</v>
      </c>
      <c r="L18" s="240">
        <f t="shared" si="7"/>
        <v>25364.821687323572</v>
      </c>
    </row>
    <row r="19" spans="1:12">
      <c r="A19" s="114">
        <v>2</v>
      </c>
      <c r="B19" s="182">
        <f t="shared" si="8"/>
        <v>13</v>
      </c>
      <c r="C19" s="188">
        <f t="shared" si="4"/>
        <v>4655288.9874219364</v>
      </c>
      <c r="D19" s="188">
        <f t="shared" si="0"/>
        <v>19397.037447591403</v>
      </c>
      <c r="E19" s="188">
        <f t="shared" si="9"/>
        <v>5967.7842397321692</v>
      </c>
      <c r="F19" s="188">
        <f t="shared" si="1"/>
        <v>25364.821687323572</v>
      </c>
      <c r="G19" s="188">
        <f t="shared" si="2"/>
        <v>4649321.2031822046</v>
      </c>
      <c r="H19" s="188">
        <f>G30*J$2/12</f>
        <v>0</v>
      </c>
      <c r="I19" s="188">
        <f>(($C$19*$J$3)/12)</f>
        <v>0</v>
      </c>
      <c r="J19" s="188">
        <f t="shared" ref="J19:J30" si="10">(($C$19*$J$4)/12)</f>
        <v>0</v>
      </c>
      <c r="K19" s="188">
        <f t="shared" si="6"/>
        <v>0</v>
      </c>
      <c r="L19" s="188">
        <f t="shared" si="7"/>
        <v>25364.821687323572</v>
      </c>
    </row>
    <row r="20" spans="1:12">
      <c r="A20" s="114">
        <v>2</v>
      </c>
      <c r="B20" s="182">
        <f t="shared" si="8"/>
        <v>14</v>
      </c>
      <c r="C20" s="188">
        <f t="shared" si="4"/>
        <v>4649321.2031822046</v>
      </c>
      <c r="D20" s="188">
        <f t="shared" si="0"/>
        <v>19372.171679925854</v>
      </c>
      <c r="E20" s="188">
        <f t="shared" si="9"/>
        <v>5992.6500073977186</v>
      </c>
      <c r="F20" s="188">
        <f t="shared" si="1"/>
        <v>25364.821687323572</v>
      </c>
      <c r="G20" s="188">
        <f t="shared" si="2"/>
        <v>4643328.5531748068</v>
      </c>
      <c r="H20" s="188">
        <f>G30*J$2/12</f>
        <v>0</v>
      </c>
      <c r="I20" s="188">
        <f t="shared" ref="I20:I30" si="11">(($C$19*$J$3)/12)</f>
        <v>0</v>
      </c>
      <c r="J20" s="188">
        <f t="shared" si="10"/>
        <v>0</v>
      </c>
      <c r="K20" s="188">
        <f t="shared" si="6"/>
        <v>0</v>
      </c>
      <c r="L20" s="188">
        <f t="shared" si="7"/>
        <v>25364.821687323572</v>
      </c>
    </row>
    <row r="21" spans="1:12">
      <c r="A21" s="114">
        <v>2</v>
      </c>
      <c r="B21" s="182">
        <f t="shared" si="8"/>
        <v>15</v>
      </c>
      <c r="C21" s="188">
        <f t="shared" si="4"/>
        <v>4643328.5531748068</v>
      </c>
      <c r="D21" s="188">
        <f t="shared" si="0"/>
        <v>19347.202304895029</v>
      </c>
      <c r="E21" s="188">
        <f t="shared" si="9"/>
        <v>6017.6193824285438</v>
      </c>
      <c r="F21" s="188">
        <f t="shared" si="1"/>
        <v>25364.821687323572</v>
      </c>
      <c r="G21" s="188">
        <f t="shared" si="2"/>
        <v>4637310.9337923778</v>
      </c>
      <c r="H21" s="188">
        <f>G30*J$2/12</f>
        <v>0</v>
      </c>
      <c r="I21" s="188">
        <f t="shared" si="11"/>
        <v>0</v>
      </c>
      <c r="J21" s="188">
        <f t="shared" si="10"/>
        <v>0</v>
      </c>
      <c r="K21" s="188">
        <f t="shared" si="6"/>
        <v>0</v>
      </c>
      <c r="L21" s="188">
        <f t="shared" si="7"/>
        <v>25364.821687323572</v>
      </c>
    </row>
    <row r="22" spans="1:12">
      <c r="A22" s="114">
        <v>2</v>
      </c>
      <c r="B22" s="182">
        <f t="shared" si="8"/>
        <v>16</v>
      </c>
      <c r="C22" s="188">
        <f t="shared" si="4"/>
        <v>4637310.9337923778</v>
      </c>
      <c r="D22" s="188">
        <f t="shared" si="0"/>
        <v>19322.128890801574</v>
      </c>
      <c r="E22" s="188">
        <f t="shared" si="9"/>
        <v>6042.6927965219984</v>
      </c>
      <c r="F22" s="188">
        <f t="shared" si="1"/>
        <v>25364.821687323572</v>
      </c>
      <c r="G22" s="188">
        <f t="shared" si="2"/>
        <v>4631268.240995856</v>
      </c>
      <c r="H22" s="188">
        <f>G30*J$2/12</f>
        <v>0</v>
      </c>
      <c r="I22" s="188">
        <f t="shared" si="11"/>
        <v>0</v>
      </c>
      <c r="J22" s="188">
        <f t="shared" si="10"/>
        <v>0</v>
      </c>
      <c r="K22" s="188">
        <f t="shared" si="6"/>
        <v>0</v>
      </c>
      <c r="L22" s="188">
        <f t="shared" si="7"/>
        <v>25364.821687323572</v>
      </c>
    </row>
    <row r="23" spans="1:12">
      <c r="A23" s="114">
        <v>2</v>
      </c>
      <c r="B23" s="182">
        <f t="shared" si="8"/>
        <v>17</v>
      </c>
      <c r="C23" s="188">
        <f t="shared" si="4"/>
        <v>4631268.240995856</v>
      </c>
      <c r="D23" s="188">
        <f t="shared" si="0"/>
        <v>19296.951004149403</v>
      </c>
      <c r="E23" s="188">
        <f t="shared" si="9"/>
        <v>6067.8706831741692</v>
      </c>
      <c r="F23" s="188">
        <f t="shared" si="1"/>
        <v>25364.821687323572</v>
      </c>
      <c r="G23" s="188">
        <f t="shared" si="2"/>
        <v>4625200.3703126814</v>
      </c>
      <c r="H23" s="188">
        <f>G30*J$2/12</f>
        <v>0</v>
      </c>
      <c r="I23" s="188">
        <f t="shared" si="11"/>
        <v>0</v>
      </c>
      <c r="J23" s="188">
        <f t="shared" si="10"/>
        <v>0</v>
      </c>
      <c r="K23" s="188">
        <f t="shared" si="6"/>
        <v>0</v>
      </c>
      <c r="L23" s="188">
        <f t="shared" si="7"/>
        <v>25364.821687323572</v>
      </c>
    </row>
    <row r="24" spans="1:12" ht="15.4" thickBot="1">
      <c r="A24" s="489">
        <v>2</v>
      </c>
      <c r="B24" s="490">
        <f t="shared" si="8"/>
        <v>18</v>
      </c>
      <c r="C24" s="491">
        <f t="shared" si="4"/>
        <v>4625200.3703126814</v>
      </c>
      <c r="D24" s="491">
        <f t="shared" si="0"/>
        <v>19271.668209636173</v>
      </c>
      <c r="E24" s="491">
        <f t="shared" si="9"/>
        <v>6093.1534776873996</v>
      </c>
      <c r="F24" s="491">
        <f t="shared" si="1"/>
        <v>25364.821687323572</v>
      </c>
      <c r="G24" s="491">
        <f t="shared" si="2"/>
        <v>4619107.216834994</v>
      </c>
      <c r="H24" s="491">
        <f>G30*J$2/12</f>
        <v>0</v>
      </c>
      <c r="I24" s="491">
        <f t="shared" si="11"/>
        <v>0</v>
      </c>
      <c r="J24" s="491">
        <f t="shared" si="10"/>
        <v>0</v>
      </c>
      <c r="K24" s="491">
        <f t="shared" si="6"/>
        <v>0</v>
      </c>
      <c r="L24" s="491">
        <f t="shared" si="7"/>
        <v>25364.821687323572</v>
      </c>
    </row>
    <row r="25" spans="1:12" ht="15.4" thickTop="1">
      <c r="A25" s="114">
        <v>2</v>
      </c>
      <c r="B25" s="182">
        <f t="shared" si="8"/>
        <v>19</v>
      </c>
      <c r="C25" s="188">
        <f t="shared" si="4"/>
        <v>4619107.216834994</v>
      </c>
      <c r="D25" s="188">
        <f t="shared" si="0"/>
        <v>19246.280070145807</v>
      </c>
      <c r="E25" s="188">
        <f t="shared" si="9"/>
        <v>6118.5416171777651</v>
      </c>
      <c r="F25" s="188">
        <f t="shared" si="1"/>
        <v>25364.821687323572</v>
      </c>
      <c r="G25" s="188">
        <f t="shared" si="2"/>
        <v>4612988.6752178166</v>
      </c>
      <c r="H25" s="188">
        <f>G30*J$2/12</f>
        <v>0</v>
      </c>
      <c r="I25" s="188">
        <f t="shared" si="11"/>
        <v>0</v>
      </c>
      <c r="J25" s="188">
        <f t="shared" si="10"/>
        <v>0</v>
      </c>
      <c r="K25" s="188">
        <f t="shared" si="6"/>
        <v>0</v>
      </c>
      <c r="L25" s="188">
        <f t="shared" si="7"/>
        <v>25364.821687323572</v>
      </c>
    </row>
    <row r="26" spans="1:12">
      <c r="A26" s="114">
        <v>2</v>
      </c>
      <c r="B26" s="182">
        <f t="shared" si="8"/>
        <v>20</v>
      </c>
      <c r="C26" s="188">
        <f t="shared" si="4"/>
        <v>4612988.6752178166</v>
      </c>
      <c r="D26" s="188">
        <f t="shared" si="0"/>
        <v>19220.786146740906</v>
      </c>
      <c r="E26" s="188">
        <f t="shared" si="9"/>
        <v>6144.0355405826667</v>
      </c>
      <c r="F26" s="188">
        <f t="shared" si="1"/>
        <v>25364.821687323572</v>
      </c>
      <c r="G26" s="188">
        <f t="shared" si="2"/>
        <v>4606844.639677234</v>
      </c>
      <c r="H26" s="188">
        <f>G30*J$2/12</f>
        <v>0</v>
      </c>
      <c r="I26" s="188">
        <f t="shared" si="11"/>
        <v>0</v>
      </c>
      <c r="J26" s="188">
        <f t="shared" si="10"/>
        <v>0</v>
      </c>
      <c r="K26" s="188">
        <f t="shared" si="6"/>
        <v>0</v>
      </c>
      <c r="L26" s="188">
        <f t="shared" si="7"/>
        <v>25364.821687323572</v>
      </c>
    </row>
    <row r="27" spans="1:12">
      <c r="A27" s="114">
        <v>2</v>
      </c>
      <c r="B27" s="182">
        <f t="shared" si="8"/>
        <v>21</v>
      </c>
      <c r="C27" s="188">
        <f t="shared" si="4"/>
        <v>4606844.639677234</v>
      </c>
      <c r="D27" s="188">
        <f t="shared" si="0"/>
        <v>19195.185998655143</v>
      </c>
      <c r="E27" s="188">
        <f t="shared" si="9"/>
        <v>6169.6356886684298</v>
      </c>
      <c r="F27" s="188">
        <f t="shared" si="1"/>
        <v>25364.821687323572</v>
      </c>
      <c r="G27" s="188">
        <f t="shared" si="2"/>
        <v>4600675.0039885659</v>
      </c>
      <c r="H27" s="188">
        <f>G30*J$2/12</f>
        <v>0</v>
      </c>
      <c r="I27" s="188">
        <f t="shared" si="11"/>
        <v>0</v>
      </c>
      <c r="J27" s="188">
        <f t="shared" si="10"/>
        <v>0</v>
      </c>
      <c r="K27" s="188">
        <f t="shared" si="6"/>
        <v>0</v>
      </c>
      <c r="L27" s="188">
        <f t="shared" si="7"/>
        <v>25364.821687323572</v>
      </c>
    </row>
    <row r="28" spans="1:12">
      <c r="A28" s="114">
        <v>2</v>
      </c>
      <c r="B28" s="182">
        <f t="shared" si="8"/>
        <v>22</v>
      </c>
      <c r="C28" s="188">
        <f t="shared" si="4"/>
        <v>4600675.0039885659</v>
      </c>
      <c r="D28" s="188">
        <f t="shared" si="0"/>
        <v>19169.47918328569</v>
      </c>
      <c r="E28" s="188">
        <f t="shared" si="9"/>
        <v>6195.3425040378825</v>
      </c>
      <c r="F28" s="188">
        <f t="shared" si="1"/>
        <v>25364.821687323572</v>
      </c>
      <c r="G28" s="188">
        <f t="shared" si="2"/>
        <v>4594479.6614845283</v>
      </c>
      <c r="H28" s="188">
        <f>G30*J$2/12</f>
        <v>0</v>
      </c>
      <c r="I28" s="188">
        <f t="shared" si="11"/>
        <v>0</v>
      </c>
      <c r="J28" s="188">
        <f t="shared" si="10"/>
        <v>0</v>
      </c>
      <c r="K28" s="188">
        <f t="shared" si="6"/>
        <v>0</v>
      </c>
      <c r="L28" s="188">
        <f t="shared" si="7"/>
        <v>25364.821687323572</v>
      </c>
    </row>
    <row r="29" spans="1:12">
      <c r="A29" s="114">
        <v>2</v>
      </c>
      <c r="B29" s="182">
        <f t="shared" si="8"/>
        <v>23</v>
      </c>
      <c r="C29" s="188">
        <f t="shared" si="4"/>
        <v>4594479.6614845283</v>
      </c>
      <c r="D29" s="188">
        <f t="shared" si="0"/>
        <v>19143.665256185534</v>
      </c>
      <c r="E29" s="188">
        <f t="shared" si="9"/>
        <v>6221.1564311380389</v>
      </c>
      <c r="F29" s="188">
        <f t="shared" si="1"/>
        <v>25364.821687323572</v>
      </c>
      <c r="G29" s="188">
        <f t="shared" si="2"/>
        <v>4588258.5050533907</v>
      </c>
      <c r="H29" s="188">
        <f>G30*J$2/12</f>
        <v>0</v>
      </c>
      <c r="I29" s="188">
        <f t="shared" si="11"/>
        <v>0</v>
      </c>
      <c r="J29" s="188">
        <f t="shared" si="10"/>
        <v>0</v>
      </c>
      <c r="K29" s="188">
        <f t="shared" si="6"/>
        <v>0</v>
      </c>
      <c r="L29" s="188">
        <f t="shared" si="7"/>
        <v>25364.821687323572</v>
      </c>
    </row>
    <row r="30" spans="1:12">
      <c r="A30" s="238">
        <v>2</v>
      </c>
      <c r="B30" s="239">
        <f t="shared" si="8"/>
        <v>24</v>
      </c>
      <c r="C30" s="240">
        <f t="shared" si="4"/>
        <v>4588258.5050533907</v>
      </c>
      <c r="D30" s="240">
        <f t="shared" si="0"/>
        <v>19117.743771055797</v>
      </c>
      <c r="E30" s="240">
        <f t="shared" si="9"/>
        <v>6247.0779162677754</v>
      </c>
      <c r="F30" s="240">
        <f t="shared" si="1"/>
        <v>25364.821687323572</v>
      </c>
      <c r="G30" s="240">
        <f t="shared" si="2"/>
        <v>4582011.4271371234</v>
      </c>
      <c r="H30" s="240">
        <f>G30*J$2/12</f>
        <v>0</v>
      </c>
      <c r="I30" s="188">
        <f t="shared" si="11"/>
        <v>0</v>
      </c>
      <c r="J30" s="240">
        <f t="shared" si="10"/>
        <v>0</v>
      </c>
      <c r="K30" s="240">
        <f t="shared" si="6"/>
        <v>0</v>
      </c>
      <c r="L30" s="240">
        <f t="shared" si="7"/>
        <v>25364.821687323572</v>
      </c>
    </row>
    <row r="31" spans="1:12">
      <c r="A31" s="114">
        <v>3</v>
      </c>
      <c r="B31" s="182">
        <f t="shared" si="8"/>
        <v>25</v>
      </c>
      <c r="C31" s="188">
        <f t="shared" si="4"/>
        <v>4582011.4271371234</v>
      </c>
      <c r="D31" s="188">
        <f t="shared" si="0"/>
        <v>19091.714279738015</v>
      </c>
      <c r="E31" s="188">
        <f t="shared" si="9"/>
        <v>6273.1074075855577</v>
      </c>
      <c r="F31" s="188">
        <f t="shared" si="1"/>
        <v>25364.821687323572</v>
      </c>
      <c r="G31" s="188">
        <f t="shared" si="2"/>
        <v>4575738.3197295377</v>
      </c>
      <c r="H31" s="188">
        <f>G42*J$2/12</f>
        <v>0</v>
      </c>
      <c r="I31" s="188">
        <f>(($C$31*$J$3)/12)</f>
        <v>0</v>
      </c>
      <c r="J31" s="188">
        <f t="shared" ref="J31:J42" si="12">(($C$31*$J$4)/12)</f>
        <v>0</v>
      </c>
      <c r="K31" s="188">
        <f t="shared" si="6"/>
        <v>0</v>
      </c>
      <c r="L31" s="188">
        <f t="shared" si="7"/>
        <v>25364.821687323572</v>
      </c>
    </row>
    <row r="32" spans="1:12">
      <c r="A32" s="114">
        <v>3</v>
      </c>
      <c r="B32" s="182">
        <f t="shared" si="8"/>
        <v>26</v>
      </c>
      <c r="C32" s="188">
        <f t="shared" si="4"/>
        <v>4575738.3197295377</v>
      </c>
      <c r="D32" s="188">
        <f t="shared" si="0"/>
        <v>19065.576332206409</v>
      </c>
      <c r="E32" s="188">
        <f t="shared" si="9"/>
        <v>6299.2453551171639</v>
      </c>
      <c r="F32" s="188">
        <f t="shared" si="1"/>
        <v>25364.821687323572</v>
      </c>
      <c r="G32" s="188">
        <f t="shared" si="2"/>
        <v>4569439.0743744206</v>
      </c>
      <c r="H32" s="188">
        <f>G42*J$2/12</f>
        <v>0</v>
      </c>
      <c r="I32" s="188">
        <f t="shared" ref="I32:I42" si="13">(($C$31*$J$3)/12)</f>
        <v>0</v>
      </c>
      <c r="J32" s="188">
        <f t="shared" si="12"/>
        <v>0</v>
      </c>
      <c r="K32" s="188">
        <f t="shared" si="6"/>
        <v>0</v>
      </c>
      <c r="L32" s="188">
        <f t="shared" si="7"/>
        <v>25364.821687323572</v>
      </c>
    </row>
    <row r="33" spans="1:12">
      <c r="A33" s="114">
        <v>3</v>
      </c>
      <c r="B33" s="182">
        <f t="shared" si="8"/>
        <v>27</v>
      </c>
      <c r="C33" s="188">
        <f t="shared" si="4"/>
        <v>4569439.0743744206</v>
      </c>
      <c r="D33" s="188">
        <f t="shared" si="0"/>
        <v>19039.329476560088</v>
      </c>
      <c r="E33" s="188">
        <f t="shared" si="9"/>
        <v>6325.4922107634848</v>
      </c>
      <c r="F33" s="188">
        <f t="shared" si="1"/>
        <v>25364.821687323572</v>
      </c>
      <c r="G33" s="188">
        <f t="shared" si="2"/>
        <v>4563113.5821636571</v>
      </c>
      <c r="H33" s="188">
        <f>G42*J$2/12</f>
        <v>0</v>
      </c>
      <c r="I33" s="188">
        <f t="shared" si="13"/>
        <v>0</v>
      </c>
      <c r="J33" s="188">
        <f t="shared" si="12"/>
        <v>0</v>
      </c>
      <c r="K33" s="188">
        <f t="shared" si="6"/>
        <v>0</v>
      </c>
      <c r="L33" s="188">
        <f t="shared" si="7"/>
        <v>25364.821687323572</v>
      </c>
    </row>
    <row r="34" spans="1:12">
      <c r="A34" s="114">
        <v>3</v>
      </c>
      <c r="B34" s="182">
        <f t="shared" si="8"/>
        <v>28</v>
      </c>
      <c r="C34" s="188">
        <f t="shared" si="4"/>
        <v>4563113.5821636571</v>
      </c>
      <c r="D34" s="188">
        <f t="shared" si="0"/>
        <v>19012.973259015238</v>
      </c>
      <c r="E34" s="188">
        <f t="shared" si="9"/>
        <v>6351.8484283083344</v>
      </c>
      <c r="F34" s="188">
        <f t="shared" si="1"/>
        <v>25364.821687323572</v>
      </c>
      <c r="G34" s="188">
        <f t="shared" si="2"/>
        <v>4556761.733735349</v>
      </c>
      <c r="H34" s="188">
        <f>G42*J$2/12</f>
        <v>0</v>
      </c>
      <c r="I34" s="188">
        <f t="shared" si="13"/>
        <v>0</v>
      </c>
      <c r="J34" s="188">
        <f t="shared" si="12"/>
        <v>0</v>
      </c>
      <c r="K34" s="188">
        <f t="shared" si="6"/>
        <v>0</v>
      </c>
      <c r="L34" s="188">
        <f t="shared" si="7"/>
        <v>25364.821687323572</v>
      </c>
    </row>
    <row r="35" spans="1:12">
      <c r="A35" s="114">
        <v>3</v>
      </c>
      <c r="B35" s="182">
        <f t="shared" si="8"/>
        <v>29</v>
      </c>
      <c r="C35" s="188">
        <f t="shared" si="4"/>
        <v>4556761.733735349</v>
      </c>
      <c r="D35" s="188">
        <f t="shared" si="0"/>
        <v>18986.50722389729</v>
      </c>
      <c r="E35" s="188">
        <f t="shared" si="9"/>
        <v>6378.3144634262826</v>
      </c>
      <c r="F35" s="188">
        <f t="shared" si="1"/>
        <v>25364.821687323572</v>
      </c>
      <c r="G35" s="188">
        <f t="shared" si="2"/>
        <v>4550383.4192719227</v>
      </c>
      <c r="H35" s="188">
        <f>G42*J$2/12</f>
        <v>0</v>
      </c>
      <c r="I35" s="188">
        <f t="shared" si="13"/>
        <v>0</v>
      </c>
      <c r="J35" s="188">
        <f t="shared" si="12"/>
        <v>0</v>
      </c>
      <c r="K35" s="188">
        <f t="shared" si="6"/>
        <v>0</v>
      </c>
      <c r="L35" s="188">
        <f t="shared" si="7"/>
        <v>25364.821687323572</v>
      </c>
    </row>
    <row r="36" spans="1:12">
      <c r="A36" s="114">
        <v>3</v>
      </c>
      <c r="B36" s="182">
        <f t="shared" si="8"/>
        <v>30</v>
      </c>
      <c r="C36" s="188">
        <f t="shared" si="4"/>
        <v>4550383.4192719227</v>
      </c>
      <c r="D36" s="188">
        <f t="shared" si="0"/>
        <v>18959.930913633012</v>
      </c>
      <c r="E36" s="188">
        <f t="shared" si="9"/>
        <v>6404.8907736905603</v>
      </c>
      <c r="F36" s="188">
        <f t="shared" si="1"/>
        <v>25364.821687323572</v>
      </c>
      <c r="G36" s="188">
        <f t="shared" si="2"/>
        <v>4543978.5284982324</v>
      </c>
      <c r="H36" s="188">
        <f>G42*J$2/12</f>
        <v>0</v>
      </c>
      <c r="I36" s="188">
        <f t="shared" si="13"/>
        <v>0</v>
      </c>
      <c r="J36" s="188">
        <f t="shared" si="12"/>
        <v>0</v>
      </c>
      <c r="K36" s="188">
        <f t="shared" si="6"/>
        <v>0</v>
      </c>
      <c r="L36" s="188">
        <f t="shared" si="7"/>
        <v>25364.821687323572</v>
      </c>
    </row>
    <row r="37" spans="1:12">
      <c r="A37" s="114">
        <v>3</v>
      </c>
      <c r="B37" s="182">
        <f t="shared" si="8"/>
        <v>31</v>
      </c>
      <c r="C37" s="188">
        <f t="shared" si="4"/>
        <v>4543978.5284982324</v>
      </c>
      <c r="D37" s="188">
        <f t="shared" si="0"/>
        <v>18933.243868742637</v>
      </c>
      <c r="E37" s="188">
        <f t="shared" si="9"/>
        <v>6431.5778185809359</v>
      </c>
      <c r="F37" s="188">
        <f t="shared" si="1"/>
        <v>25364.821687323572</v>
      </c>
      <c r="G37" s="188">
        <f t="shared" si="2"/>
        <v>4537546.9506796515</v>
      </c>
      <c r="H37" s="188">
        <f>G42*J$2/12</f>
        <v>0</v>
      </c>
      <c r="I37" s="188">
        <f t="shared" si="13"/>
        <v>0</v>
      </c>
      <c r="J37" s="188">
        <f t="shared" si="12"/>
        <v>0</v>
      </c>
      <c r="K37" s="188">
        <f t="shared" si="6"/>
        <v>0</v>
      </c>
      <c r="L37" s="188">
        <f t="shared" si="7"/>
        <v>25364.821687323572</v>
      </c>
    </row>
    <row r="38" spans="1:12">
      <c r="A38" s="114">
        <v>3</v>
      </c>
      <c r="B38" s="182">
        <f t="shared" si="8"/>
        <v>32</v>
      </c>
      <c r="C38" s="188">
        <f t="shared" si="4"/>
        <v>4537546.9506796515</v>
      </c>
      <c r="D38" s="188">
        <f t="shared" si="0"/>
        <v>18906.445627831883</v>
      </c>
      <c r="E38" s="188">
        <f t="shared" si="9"/>
        <v>6458.3760594916894</v>
      </c>
      <c r="F38" s="188">
        <f t="shared" si="1"/>
        <v>25364.821687323572</v>
      </c>
      <c r="G38" s="188">
        <f t="shared" si="2"/>
        <v>4531088.5746201593</v>
      </c>
      <c r="H38" s="188">
        <f>G42*J$2/12</f>
        <v>0</v>
      </c>
      <c r="I38" s="188">
        <f t="shared" si="13"/>
        <v>0</v>
      </c>
      <c r="J38" s="188">
        <f t="shared" si="12"/>
        <v>0</v>
      </c>
      <c r="K38" s="188">
        <f t="shared" si="6"/>
        <v>0</v>
      </c>
      <c r="L38" s="188">
        <f t="shared" si="7"/>
        <v>25364.821687323572</v>
      </c>
    </row>
    <row r="39" spans="1:12">
      <c r="A39" s="114">
        <v>3</v>
      </c>
      <c r="B39" s="182">
        <f t="shared" si="8"/>
        <v>33</v>
      </c>
      <c r="C39" s="188">
        <f t="shared" si="4"/>
        <v>4531088.5746201593</v>
      </c>
      <c r="D39" s="188">
        <f t="shared" si="0"/>
        <v>18879.535727583996</v>
      </c>
      <c r="E39" s="188">
        <f t="shared" si="9"/>
        <v>6485.2859597395764</v>
      </c>
      <c r="F39" s="188">
        <f t="shared" si="1"/>
        <v>25364.821687323572</v>
      </c>
      <c r="G39" s="188">
        <f t="shared" si="2"/>
        <v>4524603.2886604201</v>
      </c>
      <c r="H39" s="188">
        <f>G42*J$2/12</f>
        <v>0</v>
      </c>
      <c r="I39" s="188">
        <f t="shared" si="13"/>
        <v>0</v>
      </c>
      <c r="J39" s="188">
        <f t="shared" si="12"/>
        <v>0</v>
      </c>
      <c r="K39" s="188">
        <f t="shared" si="6"/>
        <v>0</v>
      </c>
      <c r="L39" s="188">
        <f t="shared" si="7"/>
        <v>25364.821687323572</v>
      </c>
    </row>
    <row r="40" spans="1:12">
      <c r="A40" s="114">
        <v>3</v>
      </c>
      <c r="B40" s="182">
        <f t="shared" si="8"/>
        <v>34</v>
      </c>
      <c r="C40" s="188">
        <f t="shared" si="4"/>
        <v>4524603.2886604201</v>
      </c>
      <c r="D40" s="188">
        <f t="shared" si="0"/>
        <v>18852.513702751752</v>
      </c>
      <c r="E40" s="188">
        <f t="shared" si="9"/>
        <v>6512.3079845718203</v>
      </c>
      <c r="F40" s="188">
        <f t="shared" si="1"/>
        <v>25364.821687323572</v>
      </c>
      <c r="G40" s="188">
        <f t="shared" si="2"/>
        <v>4518090.9806758482</v>
      </c>
      <c r="H40" s="188">
        <f>G42*J$2/12</f>
        <v>0</v>
      </c>
      <c r="I40" s="188">
        <f t="shared" si="13"/>
        <v>0</v>
      </c>
      <c r="J40" s="188">
        <f t="shared" si="12"/>
        <v>0</v>
      </c>
      <c r="K40" s="188">
        <f t="shared" si="6"/>
        <v>0</v>
      </c>
      <c r="L40" s="188">
        <f t="shared" si="7"/>
        <v>25364.821687323572</v>
      </c>
    </row>
    <row r="41" spans="1:12">
      <c r="A41" s="114">
        <v>3</v>
      </c>
      <c r="B41" s="182">
        <f t="shared" si="8"/>
        <v>35</v>
      </c>
      <c r="C41" s="188">
        <f t="shared" si="4"/>
        <v>4518090.9806758482</v>
      </c>
      <c r="D41" s="188">
        <f t="shared" si="0"/>
        <v>18825.379086149369</v>
      </c>
      <c r="E41" s="188">
        <f t="shared" si="9"/>
        <v>6539.4426011742034</v>
      </c>
      <c r="F41" s="188">
        <f t="shared" si="1"/>
        <v>25364.821687323572</v>
      </c>
      <c r="G41" s="188">
        <f t="shared" si="2"/>
        <v>4511551.5380746741</v>
      </c>
      <c r="H41" s="188">
        <f>G42*J$2/12</f>
        <v>0</v>
      </c>
      <c r="I41" s="188">
        <f t="shared" si="13"/>
        <v>0</v>
      </c>
      <c r="J41" s="188">
        <f t="shared" si="12"/>
        <v>0</v>
      </c>
      <c r="K41" s="188">
        <f t="shared" si="6"/>
        <v>0</v>
      </c>
      <c r="L41" s="188">
        <f t="shared" si="7"/>
        <v>25364.821687323572</v>
      </c>
    </row>
    <row r="42" spans="1:12">
      <c r="A42" s="238">
        <v>3</v>
      </c>
      <c r="B42" s="239">
        <f t="shared" si="8"/>
        <v>36</v>
      </c>
      <c r="C42" s="240">
        <f t="shared" si="4"/>
        <v>4511551.5380746741</v>
      </c>
      <c r="D42" s="240">
        <f t="shared" si="0"/>
        <v>18798.131408644476</v>
      </c>
      <c r="E42" s="240">
        <f t="shared" si="9"/>
        <v>6566.6902786790961</v>
      </c>
      <c r="F42" s="240">
        <f t="shared" si="1"/>
        <v>25364.821687323572</v>
      </c>
      <c r="G42" s="240">
        <f t="shared" si="2"/>
        <v>4504984.847795995</v>
      </c>
      <c r="H42" s="240">
        <f>G42*J$2/12</f>
        <v>0</v>
      </c>
      <c r="I42" s="188">
        <f t="shared" si="13"/>
        <v>0</v>
      </c>
      <c r="J42" s="240">
        <f t="shared" si="12"/>
        <v>0</v>
      </c>
      <c r="K42" s="240">
        <f t="shared" si="6"/>
        <v>0</v>
      </c>
      <c r="L42" s="240">
        <f t="shared" si="7"/>
        <v>25364.821687323572</v>
      </c>
    </row>
    <row r="43" spans="1:12">
      <c r="A43" s="114">
        <v>4</v>
      </c>
      <c r="B43" s="182">
        <f t="shared" si="8"/>
        <v>37</v>
      </c>
      <c r="C43" s="188">
        <f t="shared" si="4"/>
        <v>4504984.847795995</v>
      </c>
      <c r="D43" s="188">
        <f t="shared" si="0"/>
        <v>18770.770199149982</v>
      </c>
      <c r="E43" s="188">
        <f t="shared" si="9"/>
        <v>6594.0514881735908</v>
      </c>
      <c r="F43" s="188">
        <f t="shared" si="1"/>
        <v>25364.821687323572</v>
      </c>
      <c r="G43" s="188">
        <f t="shared" si="2"/>
        <v>4498390.7963078218</v>
      </c>
      <c r="H43" s="188">
        <f>G54*J$2/12</f>
        <v>0</v>
      </c>
      <c r="I43" s="188">
        <f>(($C$43*$J$3)/12)</f>
        <v>0</v>
      </c>
      <c r="J43" s="188">
        <f t="shared" ref="J43:J54" si="14">(($C$43*$J$4)/12)</f>
        <v>0</v>
      </c>
      <c r="K43" s="188">
        <f t="shared" si="6"/>
        <v>0</v>
      </c>
      <c r="L43" s="188">
        <f t="shared" si="7"/>
        <v>25364.821687323572</v>
      </c>
    </row>
    <row r="44" spans="1:12">
      <c r="A44" s="114">
        <v>4</v>
      </c>
      <c r="B44" s="182">
        <f t="shared" si="8"/>
        <v>38</v>
      </c>
      <c r="C44" s="188">
        <f t="shared" si="4"/>
        <v>4498390.7963078218</v>
      </c>
      <c r="D44" s="188">
        <f t="shared" si="0"/>
        <v>18743.294984615924</v>
      </c>
      <c r="E44" s="188">
        <f t="shared" si="9"/>
        <v>6621.5267027076479</v>
      </c>
      <c r="F44" s="188">
        <f t="shared" si="1"/>
        <v>25364.821687323572</v>
      </c>
      <c r="G44" s="188">
        <f t="shared" si="2"/>
        <v>4491769.2696051141</v>
      </c>
      <c r="H44" s="188">
        <f>G54*J$2/12</f>
        <v>0</v>
      </c>
      <c r="I44" s="188">
        <f t="shared" ref="I44:I54" si="15">(($C$43*$J$3)/12)</f>
        <v>0</v>
      </c>
      <c r="J44" s="188">
        <f t="shared" si="14"/>
        <v>0</v>
      </c>
      <c r="K44" s="188">
        <f t="shared" si="6"/>
        <v>0</v>
      </c>
      <c r="L44" s="188">
        <f t="shared" si="7"/>
        <v>25364.821687323572</v>
      </c>
    </row>
    <row r="45" spans="1:12">
      <c r="A45" s="114">
        <v>4</v>
      </c>
      <c r="B45" s="182">
        <f t="shared" si="8"/>
        <v>39</v>
      </c>
      <c r="C45" s="188">
        <f t="shared" si="4"/>
        <v>4491769.2696051141</v>
      </c>
      <c r="D45" s="188">
        <f t="shared" si="0"/>
        <v>18715.705290021309</v>
      </c>
      <c r="E45" s="188">
        <f t="shared" si="9"/>
        <v>6649.1163973022631</v>
      </c>
      <c r="F45" s="188">
        <f t="shared" si="1"/>
        <v>25364.821687323572</v>
      </c>
      <c r="G45" s="188">
        <f t="shared" si="2"/>
        <v>4485120.1532078115</v>
      </c>
      <c r="H45" s="188">
        <f>G54*J$2/12</f>
        <v>0</v>
      </c>
      <c r="I45" s="188">
        <f t="shared" si="15"/>
        <v>0</v>
      </c>
      <c r="J45" s="188">
        <f t="shared" si="14"/>
        <v>0</v>
      </c>
      <c r="K45" s="188">
        <f t="shared" si="6"/>
        <v>0</v>
      </c>
      <c r="L45" s="188">
        <f t="shared" si="7"/>
        <v>25364.821687323572</v>
      </c>
    </row>
    <row r="46" spans="1:12">
      <c r="A46" s="114">
        <v>4</v>
      </c>
      <c r="B46" s="182">
        <f t="shared" si="8"/>
        <v>40</v>
      </c>
      <c r="C46" s="188">
        <f t="shared" si="4"/>
        <v>4485120.1532078115</v>
      </c>
      <c r="D46" s="188">
        <f t="shared" si="0"/>
        <v>18688.00063836588</v>
      </c>
      <c r="E46" s="188">
        <f t="shared" si="9"/>
        <v>6676.8210489576923</v>
      </c>
      <c r="F46" s="188">
        <f t="shared" si="1"/>
        <v>25364.821687323572</v>
      </c>
      <c r="G46" s="188">
        <f t="shared" si="2"/>
        <v>4478443.3321588542</v>
      </c>
      <c r="H46" s="188">
        <f>G54*J$2/12</f>
        <v>0</v>
      </c>
      <c r="I46" s="188">
        <f t="shared" si="15"/>
        <v>0</v>
      </c>
      <c r="J46" s="188">
        <f t="shared" si="14"/>
        <v>0</v>
      </c>
      <c r="K46" s="188">
        <f t="shared" si="6"/>
        <v>0</v>
      </c>
      <c r="L46" s="188">
        <f t="shared" si="7"/>
        <v>25364.821687323572</v>
      </c>
    </row>
    <row r="47" spans="1:12">
      <c r="A47" s="114">
        <v>4</v>
      </c>
      <c r="B47" s="182">
        <f t="shared" si="8"/>
        <v>41</v>
      </c>
      <c r="C47" s="188">
        <f t="shared" si="4"/>
        <v>4478443.3321588542</v>
      </c>
      <c r="D47" s="188">
        <f t="shared" si="0"/>
        <v>18660.180550661895</v>
      </c>
      <c r="E47" s="188">
        <f t="shared" si="9"/>
        <v>6704.6411366616776</v>
      </c>
      <c r="F47" s="188">
        <f t="shared" si="1"/>
        <v>25364.821687323572</v>
      </c>
      <c r="G47" s="188">
        <f t="shared" si="2"/>
        <v>4471738.6910221921</v>
      </c>
      <c r="H47" s="188">
        <f>G54*J$2/12</f>
        <v>0</v>
      </c>
      <c r="I47" s="188">
        <f t="shared" si="15"/>
        <v>0</v>
      </c>
      <c r="J47" s="188">
        <f t="shared" si="14"/>
        <v>0</v>
      </c>
      <c r="K47" s="188">
        <f t="shared" si="6"/>
        <v>0</v>
      </c>
      <c r="L47" s="188">
        <f t="shared" si="7"/>
        <v>25364.821687323572</v>
      </c>
    </row>
    <row r="48" spans="1:12">
      <c r="A48" s="114">
        <v>4</v>
      </c>
      <c r="B48" s="182">
        <f t="shared" si="8"/>
        <v>42</v>
      </c>
      <c r="C48" s="188">
        <f t="shared" si="4"/>
        <v>4471738.6910221921</v>
      </c>
      <c r="D48" s="188">
        <f t="shared" si="0"/>
        <v>18632.244545925802</v>
      </c>
      <c r="E48" s="188">
        <f t="shared" si="9"/>
        <v>6732.5771413977709</v>
      </c>
      <c r="F48" s="188">
        <f t="shared" si="1"/>
        <v>25364.821687323572</v>
      </c>
      <c r="G48" s="188">
        <f t="shared" si="2"/>
        <v>4465006.1138807945</v>
      </c>
      <c r="H48" s="188">
        <f>G54*J$2/12</f>
        <v>0</v>
      </c>
      <c r="I48" s="188">
        <f t="shared" si="15"/>
        <v>0</v>
      </c>
      <c r="J48" s="188">
        <f t="shared" si="14"/>
        <v>0</v>
      </c>
      <c r="K48" s="188">
        <f t="shared" si="6"/>
        <v>0</v>
      </c>
      <c r="L48" s="188">
        <f t="shared" si="7"/>
        <v>25364.821687323572</v>
      </c>
    </row>
    <row r="49" spans="1:12">
      <c r="A49" s="114">
        <v>4</v>
      </c>
      <c r="B49" s="182">
        <f t="shared" si="8"/>
        <v>43</v>
      </c>
      <c r="C49" s="188">
        <f t="shared" si="4"/>
        <v>4465006.1138807945</v>
      </c>
      <c r="D49" s="188">
        <f t="shared" si="0"/>
        <v>18604.192141169977</v>
      </c>
      <c r="E49" s="188">
        <f t="shared" si="9"/>
        <v>6760.6295461535956</v>
      </c>
      <c r="F49" s="188">
        <f t="shared" si="1"/>
        <v>25364.821687323572</v>
      </c>
      <c r="G49" s="188">
        <f t="shared" si="2"/>
        <v>4458245.4843346411</v>
      </c>
      <c r="H49" s="188">
        <f>G54*J$2/12</f>
        <v>0</v>
      </c>
      <c r="I49" s="188">
        <f t="shared" si="15"/>
        <v>0</v>
      </c>
      <c r="J49" s="188">
        <f t="shared" si="14"/>
        <v>0</v>
      </c>
      <c r="K49" s="188">
        <f t="shared" si="6"/>
        <v>0</v>
      </c>
      <c r="L49" s="188">
        <f t="shared" si="7"/>
        <v>25364.821687323572</v>
      </c>
    </row>
    <row r="50" spans="1:12">
      <c r="A50" s="114">
        <v>4</v>
      </c>
      <c r="B50" s="182">
        <f t="shared" si="8"/>
        <v>44</v>
      </c>
      <c r="C50" s="188">
        <f t="shared" si="4"/>
        <v>4458245.4843346411</v>
      </c>
      <c r="D50" s="188">
        <f t="shared" si="0"/>
        <v>18576.02285139434</v>
      </c>
      <c r="E50" s="188">
        <f t="shared" si="9"/>
        <v>6788.7988359292322</v>
      </c>
      <c r="F50" s="188">
        <f t="shared" si="1"/>
        <v>25364.821687323572</v>
      </c>
      <c r="G50" s="188">
        <f t="shared" si="2"/>
        <v>4451456.6854987117</v>
      </c>
      <c r="H50" s="188">
        <f>G54*J$2/12</f>
        <v>0</v>
      </c>
      <c r="I50" s="188">
        <f t="shared" si="15"/>
        <v>0</v>
      </c>
      <c r="J50" s="188">
        <f t="shared" si="14"/>
        <v>0</v>
      </c>
      <c r="K50" s="188">
        <f t="shared" si="6"/>
        <v>0</v>
      </c>
      <c r="L50" s="188">
        <f t="shared" si="7"/>
        <v>25364.821687323572</v>
      </c>
    </row>
    <row r="51" spans="1:12">
      <c r="A51" s="114">
        <v>4</v>
      </c>
      <c r="B51" s="182">
        <f t="shared" si="8"/>
        <v>45</v>
      </c>
      <c r="C51" s="188">
        <f t="shared" si="4"/>
        <v>4451456.6854987117</v>
      </c>
      <c r="D51" s="188">
        <f t="shared" si="0"/>
        <v>18547.736189577965</v>
      </c>
      <c r="E51" s="188">
        <f t="shared" si="9"/>
        <v>6817.0854977456074</v>
      </c>
      <c r="F51" s="188">
        <f t="shared" si="1"/>
        <v>25364.821687323572</v>
      </c>
      <c r="G51" s="188">
        <f t="shared" si="2"/>
        <v>4444639.6000009663</v>
      </c>
      <c r="H51" s="188">
        <f>G54*J$2/12</f>
        <v>0</v>
      </c>
      <c r="I51" s="188">
        <f t="shared" si="15"/>
        <v>0</v>
      </c>
      <c r="J51" s="188">
        <f t="shared" si="14"/>
        <v>0</v>
      </c>
      <c r="K51" s="188">
        <f t="shared" si="6"/>
        <v>0</v>
      </c>
      <c r="L51" s="188">
        <f t="shared" si="7"/>
        <v>25364.821687323572</v>
      </c>
    </row>
    <row r="52" spans="1:12">
      <c r="A52" s="114">
        <v>4</v>
      </c>
      <c r="B52" s="182">
        <f t="shared" si="8"/>
        <v>46</v>
      </c>
      <c r="C52" s="188">
        <f t="shared" si="4"/>
        <v>4444639.6000009663</v>
      </c>
      <c r="D52" s="188">
        <f t="shared" si="0"/>
        <v>18519.331666670692</v>
      </c>
      <c r="E52" s="188">
        <f t="shared" si="9"/>
        <v>6845.49002065288</v>
      </c>
      <c r="F52" s="188">
        <f t="shared" si="1"/>
        <v>25364.821687323572</v>
      </c>
      <c r="G52" s="188">
        <f t="shared" si="2"/>
        <v>4437794.1099803131</v>
      </c>
      <c r="H52" s="188">
        <f>G54*J$2/12</f>
        <v>0</v>
      </c>
      <c r="I52" s="188">
        <f t="shared" si="15"/>
        <v>0</v>
      </c>
      <c r="J52" s="188">
        <f t="shared" si="14"/>
        <v>0</v>
      </c>
      <c r="K52" s="188">
        <f t="shared" si="6"/>
        <v>0</v>
      </c>
      <c r="L52" s="188">
        <f t="shared" si="7"/>
        <v>25364.821687323572</v>
      </c>
    </row>
    <row r="53" spans="1:12">
      <c r="A53" s="114">
        <v>4</v>
      </c>
      <c r="B53" s="182">
        <f t="shared" si="8"/>
        <v>47</v>
      </c>
      <c r="C53" s="188">
        <f t="shared" si="4"/>
        <v>4437794.1099803131</v>
      </c>
      <c r="D53" s="188">
        <f t="shared" si="0"/>
        <v>18490.808791584637</v>
      </c>
      <c r="E53" s="188">
        <f t="shared" si="9"/>
        <v>6874.0128957389352</v>
      </c>
      <c r="F53" s="188">
        <f t="shared" si="1"/>
        <v>25364.821687323572</v>
      </c>
      <c r="G53" s="188">
        <f t="shared" si="2"/>
        <v>4430920.0970845744</v>
      </c>
      <c r="H53" s="188">
        <f>G54*J$2/12</f>
        <v>0</v>
      </c>
      <c r="I53" s="188">
        <f t="shared" si="15"/>
        <v>0</v>
      </c>
      <c r="J53" s="188">
        <f t="shared" si="14"/>
        <v>0</v>
      </c>
      <c r="K53" s="188">
        <f t="shared" si="6"/>
        <v>0</v>
      </c>
      <c r="L53" s="188">
        <f t="shared" si="7"/>
        <v>25364.821687323572</v>
      </c>
    </row>
    <row r="54" spans="1:12">
      <c r="A54" s="238">
        <v>4</v>
      </c>
      <c r="B54" s="239">
        <f t="shared" si="8"/>
        <v>48</v>
      </c>
      <c r="C54" s="240">
        <f t="shared" si="4"/>
        <v>4430920.0970845744</v>
      </c>
      <c r="D54" s="240">
        <f t="shared" si="0"/>
        <v>18462.167071185726</v>
      </c>
      <c r="E54" s="240">
        <f t="shared" si="9"/>
        <v>6902.6546161378465</v>
      </c>
      <c r="F54" s="240">
        <f t="shared" si="1"/>
        <v>25364.821687323572</v>
      </c>
      <c r="G54" s="240">
        <f t="shared" si="2"/>
        <v>4424017.4424684364</v>
      </c>
      <c r="H54" s="240">
        <f>G54*J$2/12</f>
        <v>0</v>
      </c>
      <c r="I54" s="188">
        <f t="shared" si="15"/>
        <v>0</v>
      </c>
      <c r="J54" s="240">
        <f t="shared" si="14"/>
        <v>0</v>
      </c>
      <c r="K54" s="240">
        <f t="shared" si="6"/>
        <v>0</v>
      </c>
      <c r="L54" s="240">
        <f t="shared" si="7"/>
        <v>25364.821687323572</v>
      </c>
    </row>
    <row r="55" spans="1:12">
      <c r="A55" s="114">
        <v>5</v>
      </c>
      <c r="B55" s="182">
        <f t="shared" si="8"/>
        <v>49</v>
      </c>
      <c r="C55" s="188">
        <f t="shared" si="4"/>
        <v>4424017.4424684364</v>
      </c>
      <c r="D55" s="188">
        <f t="shared" si="0"/>
        <v>18433.406010285154</v>
      </c>
      <c r="E55" s="188">
        <f t="shared" si="9"/>
        <v>6931.4156770384179</v>
      </c>
      <c r="F55" s="188">
        <f t="shared" si="1"/>
        <v>25364.821687323572</v>
      </c>
      <c r="G55" s="188">
        <f t="shared" si="2"/>
        <v>4417086.0267913984</v>
      </c>
      <c r="H55" s="188">
        <f>G66*J$2/12</f>
        <v>0</v>
      </c>
      <c r="I55" s="188">
        <f t="shared" ref="I55:I66" si="16">(($C$55*$I$4)/12)</f>
        <v>0</v>
      </c>
      <c r="J55" s="188">
        <f t="shared" ref="J55:J66" si="17">(($C$55*$J$4)/12)</f>
        <v>0</v>
      </c>
      <c r="K55" s="188">
        <f t="shared" si="6"/>
        <v>0</v>
      </c>
      <c r="L55" s="188">
        <f t="shared" si="7"/>
        <v>25364.821687323572</v>
      </c>
    </row>
    <row r="56" spans="1:12">
      <c r="A56" s="114">
        <v>5</v>
      </c>
      <c r="B56" s="182">
        <f t="shared" si="8"/>
        <v>50</v>
      </c>
      <c r="C56" s="188">
        <f t="shared" si="4"/>
        <v>4417086.0267913984</v>
      </c>
      <c r="D56" s="188">
        <f t="shared" si="0"/>
        <v>18404.525111630828</v>
      </c>
      <c r="E56" s="188">
        <f t="shared" si="9"/>
        <v>6960.2965756927442</v>
      </c>
      <c r="F56" s="188">
        <f t="shared" si="1"/>
        <v>25364.821687323572</v>
      </c>
      <c r="G56" s="188">
        <f t="shared" si="2"/>
        <v>4410125.7302157059</v>
      </c>
      <c r="H56" s="188">
        <f>G66*J$2/12</f>
        <v>0</v>
      </c>
      <c r="I56" s="188">
        <f t="shared" si="16"/>
        <v>0</v>
      </c>
      <c r="J56" s="188">
        <f t="shared" si="17"/>
        <v>0</v>
      </c>
      <c r="K56" s="188">
        <f t="shared" si="6"/>
        <v>0</v>
      </c>
      <c r="L56" s="188">
        <f t="shared" si="7"/>
        <v>25364.821687323572</v>
      </c>
    </row>
    <row r="57" spans="1:12">
      <c r="A57" s="114">
        <v>5</v>
      </c>
      <c r="B57" s="182">
        <f t="shared" si="8"/>
        <v>51</v>
      </c>
      <c r="C57" s="188">
        <f t="shared" si="4"/>
        <v>4410125.7302157059</v>
      </c>
      <c r="D57" s="188">
        <f t="shared" si="0"/>
        <v>18375.523875898776</v>
      </c>
      <c r="E57" s="188">
        <f t="shared" si="9"/>
        <v>6989.2978114247962</v>
      </c>
      <c r="F57" s="188">
        <f t="shared" si="1"/>
        <v>25364.821687323572</v>
      </c>
      <c r="G57" s="188">
        <f t="shared" si="2"/>
        <v>4403136.4324042816</v>
      </c>
      <c r="H57" s="188">
        <f>G66*J$2/12</f>
        <v>0</v>
      </c>
      <c r="I57" s="188">
        <f t="shared" si="16"/>
        <v>0</v>
      </c>
      <c r="J57" s="188">
        <f t="shared" si="17"/>
        <v>0</v>
      </c>
      <c r="K57" s="188">
        <f t="shared" si="6"/>
        <v>0</v>
      </c>
      <c r="L57" s="188">
        <f t="shared" si="7"/>
        <v>25364.821687323572</v>
      </c>
    </row>
    <row r="58" spans="1:12">
      <c r="A58" s="114">
        <v>5</v>
      </c>
      <c r="B58" s="182">
        <f t="shared" si="8"/>
        <v>52</v>
      </c>
      <c r="C58" s="188">
        <f t="shared" si="4"/>
        <v>4403136.4324042816</v>
      </c>
      <c r="D58" s="188">
        <f t="shared" si="0"/>
        <v>18346.401801684508</v>
      </c>
      <c r="E58" s="188">
        <f t="shared" si="9"/>
        <v>7018.4198856390649</v>
      </c>
      <c r="F58" s="188">
        <f t="shared" si="1"/>
        <v>25364.821687323572</v>
      </c>
      <c r="G58" s="188">
        <f t="shared" si="2"/>
        <v>4396118.0125186425</v>
      </c>
      <c r="H58" s="188">
        <f>G66*J$2/12</f>
        <v>0</v>
      </c>
      <c r="I58" s="188">
        <f t="shared" si="16"/>
        <v>0</v>
      </c>
      <c r="J58" s="188">
        <f t="shared" si="17"/>
        <v>0</v>
      </c>
      <c r="K58" s="188">
        <f t="shared" si="6"/>
        <v>0</v>
      </c>
      <c r="L58" s="188">
        <f t="shared" si="7"/>
        <v>25364.821687323572</v>
      </c>
    </row>
    <row r="59" spans="1:12">
      <c r="A59" s="114">
        <v>5</v>
      </c>
      <c r="B59" s="182">
        <f t="shared" si="8"/>
        <v>53</v>
      </c>
      <c r="C59" s="188">
        <f t="shared" si="4"/>
        <v>4396118.0125186425</v>
      </c>
      <c r="D59" s="188">
        <f t="shared" si="0"/>
        <v>18317.158385494346</v>
      </c>
      <c r="E59" s="188">
        <f t="shared" si="9"/>
        <v>7047.6633018292268</v>
      </c>
      <c r="F59" s="188">
        <f t="shared" si="1"/>
        <v>25364.821687323572</v>
      </c>
      <c r="G59" s="188">
        <f t="shared" si="2"/>
        <v>4389070.3492168132</v>
      </c>
      <c r="H59" s="188">
        <f>G66*J$2/12</f>
        <v>0</v>
      </c>
      <c r="I59" s="188">
        <f t="shared" si="16"/>
        <v>0</v>
      </c>
      <c r="J59" s="188">
        <f t="shared" si="17"/>
        <v>0</v>
      </c>
      <c r="K59" s="188">
        <f t="shared" si="6"/>
        <v>0</v>
      </c>
      <c r="L59" s="188">
        <f t="shared" si="7"/>
        <v>25364.821687323572</v>
      </c>
    </row>
    <row r="60" spans="1:12">
      <c r="A60" s="114">
        <v>5</v>
      </c>
      <c r="B60" s="182">
        <f t="shared" si="8"/>
        <v>54</v>
      </c>
      <c r="C60" s="188">
        <f t="shared" si="4"/>
        <v>4389070.3492168132</v>
      </c>
      <c r="D60" s="188">
        <f t="shared" si="0"/>
        <v>18287.793121736722</v>
      </c>
      <c r="E60" s="188">
        <f t="shared" si="9"/>
        <v>7077.0285655868502</v>
      </c>
      <c r="F60" s="188">
        <f t="shared" si="1"/>
        <v>25364.821687323572</v>
      </c>
      <c r="G60" s="188">
        <f t="shared" si="2"/>
        <v>4381993.3206512267</v>
      </c>
      <c r="H60" s="188">
        <f>G66*J$2/12</f>
        <v>0</v>
      </c>
      <c r="I60" s="188">
        <f t="shared" si="16"/>
        <v>0</v>
      </c>
      <c r="J60" s="188">
        <f t="shared" si="17"/>
        <v>0</v>
      </c>
      <c r="K60" s="188">
        <f t="shared" si="6"/>
        <v>0</v>
      </c>
      <c r="L60" s="188">
        <f t="shared" si="7"/>
        <v>25364.821687323572</v>
      </c>
    </row>
    <row r="61" spans="1:12">
      <c r="A61" s="114">
        <v>5</v>
      </c>
      <c r="B61" s="182">
        <f t="shared" si="8"/>
        <v>55</v>
      </c>
      <c r="C61" s="188">
        <f t="shared" si="4"/>
        <v>4381993.3206512267</v>
      </c>
      <c r="D61" s="188">
        <f t="shared" si="0"/>
        <v>18258.305502713443</v>
      </c>
      <c r="E61" s="188">
        <f t="shared" si="9"/>
        <v>7106.5161846101291</v>
      </c>
      <c r="F61" s="188">
        <f t="shared" si="1"/>
        <v>25364.821687323572</v>
      </c>
      <c r="G61" s="188">
        <f t="shared" si="2"/>
        <v>4374886.8044666164</v>
      </c>
      <c r="H61" s="188">
        <f>G66*J$2/12</f>
        <v>0</v>
      </c>
      <c r="I61" s="188">
        <f t="shared" si="16"/>
        <v>0</v>
      </c>
      <c r="J61" s="188">
        <f t="shared" si="17"/>
        <v>0</v>
      </c>
      <c r="K61" s="188">
        <f t="shared" si="6"/>
        <v>0</v>
      </c>
      <c r="L61" s="188">
        <f t="shared" si="7"/>
        <v>25364.821687323572</v>
      </c>
    </row>
    <row r="62" spans="1:12">
      <c r="A62" s="114">
        <v>5</v>
      </c>
      <c r="B62" s="182">
        <f t="shared" si="8"/>
        <v>56</v>
      </c>
      <c r="C62" s="188">
        <f t="shared" si="4"/>
        <v>4374886.8044666164</v>
      </c>
      <c r="D62" s="188">
        <f t="shared" si="0"/>
        <v>18228.695018610902</v>
      </c>
      <c r="E62" s="188">
        <f t="shared" si="9"/>
        <v>7136.1266687126699</v>
      </c>
      <c r="F62" s="188">
        <f t="shared" si="1"/>
        <v>25364.821687323572</v>
      </c>
      <c r="G62" s="188">
        <f t="shared" si="2"/>
        <v>4367750.6777979033</v>
      </c>
      <c r="H62" s="188">
        <f>G66*J$2/12</f>
        <v>0</v>
      </c>
      <c r="I62" s="188">
        <f t="shared" si="16"/>
        <v>0</v>
      </c>
      <c r="J62" s="188">
        <f t="shared" si="17"/>
        <v>0</v>
      </c>
      <c r="K62" s="188">
        <f t="shared" si="6"/>
        <v>0</v>
      </c>
      <c r="L62" s="188">
        <f t="shared" si="7"/>
        <v>25364.821687323572</v>
      </c>
    </row>
    <row r="63" spans="1:12">
      <c r="A63" s="114">
        <v>5</v>
      </c>
      <c r="B63" s="182">
        <f t="shared" si="8"/>
        <v>57</v>
      </c>
      <c r="C63" s="188">
        <f t="shared" si="4"/>
        <v>4367750.6777979033</v>
      </c>
      <c r="D63" s="188">
        <f t="shared" si="0"/>
        <v>18198.961157491267</v>
      </c>
      <c r="E63" s="188">
        <f t="shared" si="9"/>
        <v>7165.8605298323055</v>
      </c>
      <c r="F63" s="188">
        <f t="shared" si="1"/>
        <v>25364.821687323572</v>
      </c>
      <c r="G63" s="188">
        <f t="shared" si="2"/>
        <v>4360584.8172680708</v>
      </c>
      <c r="H63" s="188">
        <f>G66*J$2/12</f>
        <v>0</v>
      </c>
      <c r="I63" s="188">
        <f t="shared" si="16"/>
        <v>0</v>
      </c>
      <c r="J63" s="188">
        <f t="shared" si="17"/>
        <v>0</v>
      </c>
      <c r="K63" s="188">
        <f t="shared" si="6"/>
        <v>0</v>
      </c>
      <c r="L63" s="188">
        <f t="shared" si="7"/>
        <v>25364.821687323572</v>
      </c>
    </row>
    <row r="64" spans="1:12">
      <c r="A64" s="114">
        <v>5</v>
      </c>
      <c r="B64" s="182">
        <f t="shared" si="8"/>
        <v>58</v>
      </c>
      <c r="C64" s="188">
        <f t="shared" si="4"/>
        <v>4360584.8172680708</v>
      </c>
      <c r="D64" s="188">
        <f t="shared" si="0"/>
        <v>18169.103405283629</v>
      </c>
      <c r="E64" s="188">
        <f t="shared" si="9"/>
        <v>7195.718282039943</v>
      </c>
      <c r="F64" s="188">
        <f t="shared" si="1"/>
        <v>25364.821687323572</v>
      </c>
      <c r="G64" s="188">
        <f t="shared" si="2"/>
        <v>4353389.0989860306</v>
      </c>
      <c r="H64" s="188">
        <f>G66*J$2/12</f>
        <v>0</v>
      </c>
      <c r="I64" s="188">
        <f t="shared" si="16"/>
        <v>0</v>
      </c>
      <c r="J64" s="188">
        <f t="shared" si="17"/>
        <v>0</v>
      </c>
      <c r="K64" s="188">
        <f t="shared" si="6"/>
        <v>0</v>
      </c>
      <c r="L64" s="188">
        <f t="shared" si="7"/>
        <v>25364.821687323572</v>
      </c>
    </row>
    <row r="65" spans="1:12">
      <c r="A65" s="114">
        <v>5</v>
      </c>
      <c r="B65" s="182">
        <f t="shared" si="8"/>
        <v>59</v>
      </c>
      <c r="C65" s="188">
        <f t="shared" si="4"/>
        <v>4353389.0989860306</v>
      </c>
      <c r="D65" s="188">
        <f t="shared" si="0"/>
        <v>18139.121245775128</v>
      </c>
      <c r="E65" s="188">
        <f t="shared" si="9"/>
        <v>7225.7004415484444</v>
      </c>
      <c r="F65" s="188">
        <f t="shared" si="1"/>
        <v>25364.821687323572</v>
      </c>
      <c r="G65" s="188">
        <f t="shared" si="2"/>
        <v>4346163.398544482</v>
      </c>
      <c r="H65" s="188">
        <f>G66*J$2/12</f>
        <v>0</v>
      </c>
      <c r="I65" s="188">
        <f t="shared" si="16"/>
        <v>0</v>
      </c>
      <c r="J65" s="188">
        <f t="shared" si="17"/>
        <v>0</v>
      </c>
      <c r="K65" s="188">
        <f t="shared" si="6"/>
        <v>0</v>
      </c>
      <c r="L65" s="188">
        <f t="shared" si="7"/>
        <v>25364.821687323572</v>
      </c>
    </row>
    <row r="66" spans="1:12">
      <c r="A66" s="238">
        <v>5</v>
      </c>
      <c r="B66" s="239">
        <f t="shared" si="8"/>
        <v>60</v>
      </c>
      <c r="C66" s="240">
        <f t="shared" si="4"/>
        <v>4346163.398544482</v>
      </c>
      <c r="D66" s="240">
        <f t="shared" si="0"/>
        <v>18109.014160602008</v>
      </c>
      <c r="E66" s="240">
        <f t="shared" si="9"/>
        <v>7255.8075267215645</v>
      </c>
      <c r="F66" s="240">
        <f t="shared" si="1"/>
        <v>25364.821687323572</v>
      </c>
      <c r="G66" s="240">
        <f t="shared" si="2"/>
        <v>4338907.5910177603</v>
      </c>
      <c r="H66" s="240">
        <f>G66*J$2/12</f>
        <v>0</v>
      </c>
      <c r="I66" s="240">
        <f t="shared" si="16"/>
        <v>0</v>
      </c>
      <c r="J66" s="240">
        <f t="shared" si="17"/>
        <v>0</v>
      </c>
      <c r="K66" s="240">
        <f t="shared" si="6"/>
        <v>0</v>
      </c>
      <c r="L66" s="240">
        <f t="shared" si="7"/>
        <v>25364.821687323572</v>
      </c>
    </row>
    <row r="67" spans="1:12">
      <c r="A67" s="114">
        <v>6</v>
      </c>
      <c r="B67" s="182">
        <f t="shared" si="8"/>
        <v>61</v>
      </c>
      <c r="C67" s="188">
        <f t="shared" si="4"/>
        <v>4338907.5910177603</v>
      </c>
      <c r="D67" s="188">
        <f t="shared" si="0"/>
        <v>18078.781629240668</v>
      </c>
      <c r="E67" s="188">
        <f t="shared" si="9"/>
        <v>7286.0400580829046</v>
      </c>
      <c r="F67" s="188">
        <f t="shared" si="1"/>
        <v>25364.821687323572</v>
      </c>
      <c r="G67" s="188">
        <f t="shared" si="2"/>
        <v>4331621.5509596774</v>
      </c>
      <c r="H67" s="188">
        <f>G78*J$2/12</f>
        <v>0</v>
      </c>
      <c r="I67" s="188">
        <f t="shared" ref="I67:I78" si="18">(($C$67*$I$4)/12)</f>
        <v>0</v>
      </c>
      <c r="J67" s="188">
        <f t="shared" ref="J67:J78" si="19">(($C$67*$J$4)/12)</f>
        <v>0</v>
      </c>
      <c r="K67" s="188">
        <f t="shared" si="6"/>
        <v>0</v>
      </c>
      <c r="L67" s="188">
        <f t="shared" si="7"/>
        <v>25364.821687323572</v>
      </c>
    </row>
    <row r="68" spans="1:12">
      <c r="A68" s="114">
        <v>6</v>
      </c>
      <c r="B68" s="182">
        <f t="shared" si="8"/>
        <v>62</v>
      </c>
      <c r="C68" s="188">
        <f t="shared" si="4"/>
        <v>4331621.5509596774</v>
      </c>
      <c r="D68" s="188">
        <f t="shared" si="0"/>
        <v>18048.423128998656</v>
      </c>
      <c r="E68" s="188">
        <f t="shared" si="9"/>
        <v>7316.3985583249159</v>
      </c>
      <c r="F68" s="188">
        <f t="shared" si="1"/>
        <v>25364.821687323572</v>
      </c>
      <c r="G68" s="188">
        <f t="shared" si="2"/>
        <v>4324305.1524013523</v>
      </c>
      <c r="H68" s="188">
        <f>G78*J$2/12</f>
        <v>0</v>
      </c>
      <c r="I68" s="188">
        <f t="shared" si="18"/>
        <v>0</v>
      </c>
      <c r="J68" s="188">
        <f t="shared" si="19"/>
        <v>0</v>
      </c>
      <c r="K68" s="188">
        <f t="shared" si="6"/>
        <v>0</v>
      </c>
      <c r="L68" s="188">
        <f t="shared" si="7"/>
        <v>25364.821687323572</v>
      </c>
    </row>
    <row r="69" spans="1:12">
      <c r="A69" s="114">
        <v>6</v>
      </c>
      <c r="B69" s="182">
        <f t="shared" si="8"/>
        <v>63</v>
      </c>
      <c r="C69" s="188">
        <f t="shared" si="4"/>
        <v>4324305.1524013523</v>
      </c>
      <c r="D69" s="188">
        <f t="shared" si="0"/>
        <v>18017.938135005636</v>
      </c>
      <c r="E69" s="188">
        <f t="shared" si="9"/>
        <v>7346.8835523179368</v>
      </c>
      <c r="F69" s="188">
        <f t="shared" si="1"/>
        <v>25364.821687323572</v>
      </c>
      <c r="G69" s="188">
        <f t="shared" si="2"/>
        <v>4316958.2688490348</v>
      </c>
      <c r="H69" s="188">
        <f>G78*J$2/12</f>
        <v>0</v>
      </c>
      <c r="I69" s="188">
        <f t="shared" si="18"/>
        <v>0</v>
      </c>
      <c r="J69" s="188">
        <f t="shared" si="19"/>
        <v>0</v>
      </c>
      <c r="K69" s="188">
        <f t="shared" si="6"/>
        <v>0</v>
      </c>
      <c r="L69" s="188">
        <f t="shared" si="7"/>
        <v>25364.821687323572</v>
      </c>
    </row>
    <row r="70" spans="1:12">
      <c r="A70" s="114">
        <v>6</v>
      </c>
      <c r="B70" s="182">
        <f t="shared" si="8"/>
        <v>64</v>
      </c>
      <c r="C70" s="188">
        <f t="shared" si="4"/>
        <v>4316958.2688490348</v>
      </c>
      <c r="D70" s="188">
        <f t="shared" si="0"/>
        <v>17987.32612020431</v>
      </c>
      <c r="E70" s="188">
        <f t="shared" si="9"/>
        <v>7377.495567119262</v>
      </c>
      <c r="F70" s="188">
        <f t="shared" si="1"/>
        <v>25364.821687323572</v>
      </c>
      <c r="G70" s="188">
        <f t="shared" si="2"/>
        <v>4309580.7732819151</v>
      </c>
      <c r="H70" s="188">
        <f>G78*J$2/12</f>
        <v>0</v>
      </c>
      <c r="I70" s="188">
        <f t="shared" si="18"/>
        <v>0</v>
      </c>
      <c r="J70" s="188">
        <f t="shared" si="19"/>
        <v>0</v>
      </c>
      <c r="K70" s="188">
        <f t="shared" si="6"/>
        <v>0</v>
      </c>
      <c r="L70" s="188">
        <f t="shared" si="7"/>
        <v>25364.821687323572</v>
      </c>
    </row>
    <row r="71" spans="1:12">
      <c r="A71" s="114">
        <v>6</v>
      </c>
      <c r="B71" s="182">
        <f t="shared" si="8"/>
        <v>65</v>
      </c>
      <c r="C71" s="188">
        <f t="shared" si="4"/>
        <v>4309580.7732819151</v>
      </c>
      <c r="D71" s="188">
        <f t="shared" ref="D71:D134" si="20">(C71*$J$1)/12</f>
        <v>17956.586555341313</v>
      </c>
      <c r="E71" s="188">
        <f t="shared" si="9"/>
        <v>7408.2351319822592</v>
      </c>
      <c r="F71" s="188">
        <f t="shared" ref="F71:F134" si="21">PMT($J$1/12,$E$3*12,-$C$7,0)</f>
        <v>25364.821687323572</v>
      </c>
      <c r="G71" s="188">
        <f t="shared" ref="G71:G134" si="22">C71-E71</f>
        <v>4302172.5381499324</v>
      </c>
      <c r="H71" s="188">
        <f>G78*J$2/12</f>
        <v>0</v>
      </c>
      <c r="I71" s="188">
        <f t="shared" si="18"/>
        <v>0</v>
      </c>
      <c r="J71" s="188">
        <f t="shared" si="19"/>
        <v>0</v>
      </c>
      <c r="K71" s="188">
        <f t="shared" si="6"/>
        <v>0</v>
      </c>
      <c r="L71" s="188">
        <f t="shared" si="7"/>
        <v>25364.821687323572</v>
      </c>
    </row>
    <row r="72" spans="1:12">
      <c r="A72" s="114">
        <v>6</v>
      </c>
      <c r="B72" s="182">
        <f t="shared" si="8"/>
        <v>66</v>
      </c>
      <c r="C72" s="188">
        <f t="shared" ref="C72:C135" si="23">G71</f>
        <v>4302172.5381499324</v>
      </c>
      <c r="D72" s="188">
        <f t="shared" si="20"/>
        <v>17925.718908958053</v>
      </c>
      <c r="E72" s="188">
        <f t="shared" si="9"/>
        <v>7439.102778365519</v>
      </c>
      <c r="F72" s="188">
        <f t="shared" si="21"/>
        <v>25364.821687323572</v>
      </c>
      <c r="G72" s="188">
        <f t="shared" si="22"/>
        <v>4294733.4353715666</v>
      </c>
      <c r="H72" s="188">
        <f>G78*J$2/12</f>
        <v>0</v>
      </c>
      <c r="I72" s="188">
        <f t="shared" si="18"/>
        <v>0</v>
      </c>
      <c r="J72" s="188">
        <f t="shared" si="19"/>
        <v>0</v>
      </c>
      <c r="K72" s="188">
        <f t="shared" ref="K72:K135" si="24">SUM(I72:J72)</f>
        <v>0</v>
      </c>
      <c r="L72" s="188">
        <f t="shared" ref="L72:L135" si="25">F72+H72+K72</f>
        <v>25364.821687323572</v>
      </c>
    </row>
    <row r="73" spans="1:12">
      <c r="A73" s="114">
        <v>6</v>
      </c>
      <c r="B73" s="182">
        <f t="shared" ref="B73:B136" si="26">B72+1</f>
        <v>67</v>
      </c>
      <c r="C73" s="188">
        <f t="shared" si="23"/>
        <v>4294733.4353715666</v>
      </c>
      <c r="D73" s="188">
        <f t="shared" si="20"/>
        <v>17894.722647381528</v>
      </c>
      <c r="E73" s="188">
        <f t="shared" ref="E73:E136" si="27">(F73-D73)</f>
        <v>7470.0990399420443</v>
      </c>
      <c r="F73" s="188">
        <f t="shared" si="21"/>
        <v>25364.821687323572</v>
      </c>
      <c r="G73" s="188">
        <f t="shared" si="22"/>
        <v>4287263.3363316245</v>
      </c>
      <c r="H73" s="188">
        <f>G78*J$2/12</f>
        <v>0</v>
      </c>
      <c r="I73" s="188">
        <f t="shared" si="18"/>
        <v>0</v>
      </c>
      <c r="J73" s="188">
        <f t="shared" si="19"/>
        <v>0</v>
      </c>
      <c r="K73" s="188">
        <f t="shared" si="24"/>
        <v>0</v>
      </c>
      <c r="L73" s="188">
        <f t="shared" si="25"/>
        <v>25364.821687323572</v>
      </c>
    </row>
    <row r="74" spans="1:12">
      <c r="A74" s="114">
        <v>6</v>
      </c>
      <c r="B74" s="182">
        <f t="shared" si="26"/>
        <v>68</v>
      </c>
      <c r="C74" s="188">
        <f t="shared" si="23"/>
        <v>4287263.3363316245</v>
      </c>
      <c r="D74" s="188">
        <f t="shared" si="20"/>
        <v>17863.597234715104</v>
      </c>
      <c r="E74" s="188">
        <f t="shared" si="27"/>
        <v>7501.2244526084687</v>
      </c>
      <c r="F74" s="188">
        <f t="shared" si="21"/>
        <v>25364.821687323572</v>
      </c>
      <c r="G74" s="188">
        <f t="shared" si="22"/>
        <v>4279762.1118790163</v>
      </c>
      <c r="H74" s="188">
        <f>G78*J$2/12</f>
        <v>0</v>
      </c>
      <c r="I74" s="188">
        <f t="shared" si="18"/>
        <v>0</v>
      </c>
      <c r="J74" s="188">
        <f t="shared" si="19"/>
        <v>0</v>
      </c>
      <c r="K74" s="188">
        <f t="shared" si="24"/>
        <v>0</v>
      </c>
      <c r="L74" s="188">
        <f t="shared" si="25"/>
        <v>25364.821687323572</v>
      </c>
    </row>
    <row r="75" spans="1:12">
      <c r="A75" s="114">
        <v>6</v>
      </c>
      <c r="B75" s="182">
        <f t="shared" si="26"/>
        <v>69</v>
      </c>
      <c r="C75" s="188">
        <f t="shared" si="23"/>
        <v>4279762.1118790163</v>
      </c>
      <c r="D75" s="188">
        <f t="shared" si="20"/>
        <v>17832.342132829235</v>
      </c>
      <c r="E75" s="188">
        <f t="shared" si="27"/>
        <v>7532.4795544943372</v>
      </c>
      <c r="F75" s="188">
        <f t="shared" si="21"/>
        <v>25364.821687323572</v>
      </c>
      <c r="G75" s="188">
        <f t="shared" si="22"/>
        <v>4272229.6323245224</v>
      </c>
      <c r="H75" s="188">
        <f>G78*J$2/12</f>
        <v>0</v>
      </c>
      <c r="I75" s="188">
        <f t="shared" si="18"/>
        <v>0</v>
      </c>
      <c r="J75" s="188">
        <f t="shared" si="19"/>
        <v>0</v>
      </c>
      <c r="K75" s="188">
        <f t="shared" si="24"/>
        <v>0</v>
      </c>
      <c r="L75" s="188">
        <f t="shared" si="25"/>
        <v>25364.821687323572</v>
      </c>
    </row>
    <row r="76" spans="1:12">
      <c r="A76" s="114">
        <v>6</v>
      </c>
      <c r="B76" s="182">
        <f t="shared" si="26"/>
        <v>70</v>
      </c>
      <c r="C76" s="188">
        <f t="shared" si="23"/>
        <v>4272229.6323245224</v>
      </c>
      <c r="D76" s="188">
        <f t="shared" si="20"/>
        <v>17800.956801352178</v>
      </c>
      <c r="E76" s="188">
        <f t="shared" si="27"/>
        <v>7563.864885971394</v>
      </c>
      <c r="F76" s="188">
        <f t="shared" si="21"/>
        <v>25364.821687323572</v>
      </c>
      <c r="G76" s="188">
        <f t="shared" si="22"/>
        <v>4264665.7674385514</v>
      </c>
      <c r="H76" s="188">
        <f>G78*J$2/12</f>
        <v>0</v>
      </c>
      <c r="I76" s="188">
        <f t="shared" si="18"/>
        <v>0</v>
      </c>
      <c r="J76" s="188">
        <f t="shared" si="19"/>
        <v>0</v>
      </c>
      <c r="K76" s="188">
        <f t="shared" si="24"/>
        <v>0</v>
      </c>
      <c r="L76" s="188">
        <f t="shared" si="25"/>
        <v>25364.821687323572</v>
      </c>
    </row>
    <row r="77" spans="1:12">
      <c r="A77" s="114">
        <v>6</v>
      </c>
      <c r="B77" s="182">
        <f t="shared" si="26"/>
        <v>71</v>
      </c>
      <c r="C77" s="188">
        <f t="shared" si="23"/>
        <v>4264665.7674385514</v>
      </c>
      <c r="D77" s="188">
        <f t="shared" si="20"/>
        <v>17769.44069766063</v>
      </c>
      <c r="E77" s="188">
        <f t="shared" si="27"/>
        <v>7595.3809896629427</v>
      </c>
      <c r="F77" s="188">
        <f t="shared" si="21"/>
        <v>25364.821687323572</v>
      </c>
      <c r="G77" s="188">
        <f t="shared" si="22"/>
        <v>4257070.3864488881</v>
      </c>
      <c r="H77" s="188">
        <f>G78*J$2/12</f>
        <v>0</v>
      </c>
      <c r="I77" s="188">
        <f t="shared" si="18"/>
        <v>0</v>
      </c>
      <c r="J77" s="188">
        <f t="shared" si="19"/>
        <v>0</v>
      </c>
      <c r="K77" s="188">
        <f t="shared" si="24"/>
        <v>0</v>
      </c>
      <c r="L77" s="188">
        <f t="shared" si="25"/>
        <v>25364.821687323572</v>
      </c>
    </row>
    <row r="78" spans="1:12">
      <c r="A78" s="238">
        <v>6</v>
      </c>
      <c r="B78" s="239">
        <f t="shared" si="26"/>
        <v>72</v>
      </c>
      <c r="C78" s="240">
        <f t="shared" si="23"/>
        <v>4257070.3864488881</v>
      </c>
      <c r="D78" s="240">
        <f t="shared" si="20"/>
        <v>17737.793276870369</v>
      </c>
      <c r="E78" s="240">
        <f t="shared" si="27"/>
        <v>7627.0284104532038</v>
      </c>
      <c r="F78" s="240">
        <f t="shared" si="21"/>
        <v>25364.821687323572</v>
      </c>
      <c r="G78" s="240">
        <f t="shared" si="22"/>
        <v>4249443.3580384348</v>
      </c>
      <c r="H78" s="240">
        <f>G78*J$2/12</f>
        <v>0</v>
      </c>
      <c r="I78" s="240">
        <f t="shared" si="18"/>
        <v>0</v>
      </c>
      <c r="J78" s="240">
        <f t="shared" si="19"/>
        <v>0</v>
      </c>
      <c r="K78" s="240">
        <f t="shared" si="24"/>
        <v>0</v>
      </c>
      <c r="L78" s="240">
        <f t="shared" si="25"/>
        <v>25364.821687323572</v>
      </c>
    </row>
    <row r="79" spans="1:12">
      <c r="A79" s="114">
        <v>7</v>
      </c>
      <c r="B79" s="182">
        <f t="shared" si="26"/>
        <v>73</v>
      </c>
      <c r="C79" s="188">
        <f t="shared" si="23"/>
        <v>4249443.3580384348</v>
      </c>
      <c r="D79" s="188">
        <f t="shared" si="20"/>
        <v>17706.013991826814</v>
      </c>
      <c r="E79" s="188">
        <f t="shared" si="27"/>
        <v>7658.8076954967582</v>
      </c>
      <c r="F79" s="188">
        <f t="shared" si="21"/>
        <v>25364.821687323572</v>
      </c>
      <c r="G79" s="188">
        <f t="shared" si="22"/>
        <v>4241784.5503429379</v>
      </c>
      <c r="H79" s="188">
        <f>G90*J$2/12</f>
        <v>0</v>
      </c>
      <c r="I79" s="188">
        <f t="shared" ref="I79:I90" si="28">(($C$79*$I$4)/12)</f>
        <v>0</v>
      </c>
      <c r="J79" s="188">
        <f t="shared" ref="J79:J90" si="29">(($C$79*$J$4)/12)</f>
        <v>0</v>
      </c>
      <c r="K79" s="188">
        <f t="shared" si="24"/>
        <v>0</v>
      </c>
      <c r="L79" s="188">
        <f t="shared" si="25"/>
        <v>25364.821687323572</v>
      </c>
    </row>
    <row r="80" spans="1:12">
      <c r="A80" s="114">
        <v>7</v>
      </c>
      <c r="B80" s="182">
        <f t="shared" si="26"/>
        <v>74</v>
      </c>
      <c r="C80" s="188">
        <f t="shared" si="23"/>
        <v>4241784.5503429379</v>
      </c>
      <c r="D80" s="188">
        <f t="shared" si="20"/>
        <v>17674.102293095577</v>
      </c>
      <c r="E80" s="188">
        <f t="shared" si="27"/>
        <v>7690.7193942279955</v>
      </c>
      <c r="F80" s="188">
        <f t="shared" si="21"/>
        <v>25364.821687323572</v>
      </c>
      <c r="G80" s="188">
        <f t="shared" si="22"/>
        <v>4234093.8309487095</v>
      </c>
      <c r="H80" s="188">
        <f>G90*J$2/12</f>
        <v>0</v>
      </c>
      <c r="I80" s="188">
        <f t="shared" si="28"/>
        <v>0</v>
      </c>
      <c r="J80" s="188">
        <f t="shared" si="29"/>
        <v>0</v>
      </c>
      <c r="K80" s="188">
        <f t="shared" si="24"/>
        <v>0</v>
      </c>
      <c r="L80" s="188">
        <f t="shared" si="25"/>
        <v>25364.821687323572</v>
      </c>
    </row>
    <row r="81" spans="1:12">
      <c r="A81" s="114">
        <v>7</v>
      </c>
      <c r="B81" s="182">
        <f t="shared" si="26"/>
        <v>75</v>
      </c>
      <c r="C81" s="188">
        <f t="shared" si="23"/>
        <v>4234093.8309487095</v>
      </c>
      <c r="D81" s="188">
        <f t="shared" si="20"/>
        <v>17642.057628952956</v>
      </c>
      <c r="E81" s="188">
        <f t="shared" si="27"/>
        <v>7722.7640583706161</v>
      </c>
      <c r="F81" s="188">
        <f t="shared" si="21"/>
        <v>25364.821687323572</v>
      </c>
      <c r="G81" s="188">
        <f t="shared" si="22"/>
        <v>4226371.0668903384</v>
      </c>
      <c r="H81" s="188">
        <f>G90*J$2/12</f>
        <v>0</v>
      </c>
      <c r="I81" s="188">
        <f t="shared" si="28"/>
        <v>0</v>
      </c>
      <c r="J81" s="188">
        <f t="shared" si="29"/>
        <v>0</v>
      </c>
      <c r="K81" s="188">
        <f t="shared" si="24"/>
        <v>0</v>
      </c>
      <c r="L81" s="188">
        <f t="shared" si="25"/>
        <v>25364.821687323572</v>
      </c>
    </row>
    <row r="82" spans="1:12">
      <c r="A82" s="114">
        <v>7</v>
      </c>
      <c r="B82" s="182">
        <f t="shared" si="26"/>
        <v>76</v>
      </c>
      <c r="C82" s="188">
        <f t="shared" si="23"/>
        <v>4226371.0668903384</v>
      </c>
      <c r="D82" s="188">
        <f t="shared" si="20"/>
        <v>17609.879445376409</v>
      </c>
      <c r="E82" s="188">
        <f t="shared" si="27"/>
        <v>7754.942241947163</v>
      </c>
      <c r="F82" s="188">
        <f t="shared" si="21"/>
        <v>25364.821687323572</v>
      </c>
      <c r="G82" s="188">
        <f t="shared" si="22"/>
        <v>4218616.1246483913</v>
      </c>
      <c r="H82" s="188">
        <f>G90*J$2/12</f>
        <v>0</v>
      </c>
      <c r="I82" s="188">
        <f t="shared" si="28"/>
        <v>0</v>
      </c>
      <c r="J82" s="188">
        <f t="shared" si="29"/>
        <v>0</v>
      </c>
      <c r="K82" s="188">
        <f t="shared" si="24"/>
        <v>0</v>
      </c>
      <c r="L82" s="188">
        <f t="shared" si="25"/>
        <v>25364.821687323572</v>
      </c>
    </row>
    <row r="83" spans="1:12">
      <c r="A83" s="114">
        <v>7</v>
      </c>
      <c r="B83" s="182">
        <f t="shared" si="26"/>
        <v>77</v>
      </c>
      <c r="C83" s="188">
        <f t="shared" si="23"/>
        <v>4218616.1246483913</v>
      </c>
      <c r="D83" s="188">
        <f t="shared" si="20"/>
        <v>17577.567186034965</v>
      </c>
      <c r="E83" s="188">
        <f t="shared" si="27"/>
        <v>7787.2545012886076</v>
      </c>
      <c r="F83" s="188">
        <f t="shared" si="21"/>
        <v>25364.821687323572</v>
      </c>
      <c r="G83" s="188">
        <f t="shared" si="22"/>
        <v>4210828.8701471025</v>
      </c>
      <c r="H83" s="188">
        <f>G90*J$2/12</f>
        <v>0</v>
      </c>
      <c r="I83" s="188">
        <f t="shared" si="28"/>
        <v>0</v>
      </c>
      <c r="J83" s="188">
        <f t="shared" si="29"/>
        <v>0</v>
      </c>
      <c r="K83" s="188">
        <f t="shared" si="24"/>
        <v>0</v>
      </c>
      <c r="L83" s="188">
        <f t="shared" si="25"/>
        <v>25364.821687323572</v>
      </c>
    </row>
    <row r="84" spans="1:12">
      <c r="A84" s="114">
        <v>7</v>
      </c>
      <c r="B84" s="182">
        <f t="shared" si="26"/>
        <v>78</v>
      </c>
      <c r="C84" s="188">
        <f t="shared" si="23"/>
        <v>4210828.8701471025</v>
      </c>
      <c r="D84" s="188">
        <f t="shared" si="20"/>
        <v>17545.120292279596</v>
      </c>
      <c r="E84" s="188">
        <f t="shared" si="27"/>
        <v>7819.7013950439759</v>
      </c>
      <c r="F84" s="188">
        <f t="shared" si="21"/>
        <v>25364.821687323572</v>
      </c>
      <c r="G84" s="188">
        <f t="shared" si="22"/>
        <v>4203009.1687520584</v>
      </c>
      <c r="H84" s="188">
        <f>G90*J$2/12</f>
        <v>0</v>
      </c>
      <c r="I84" s="188">
        <f t="shared" si="28"/>
        <v>0</v>
      </c>
      <c r="J84" s="188">
        <f t="shared" si="29"/>
        <v>0</v>
      </c>
      <c r="K84" s="188">
        <f t="shared" si="24"/>
        <v>0</v>
      </c>
      <c r="L84" s="188">
        <f t="shared" si="25"/>
        <v>25364.821687323572</v>
      </c>
    </row>
    <row r="85" spans="1:12">
      <c r="A85" s="114">
        <v>7</v>
      </c>
      <c r="B85" s="182">
        <f t="shared" si="26"/>
        <v>79</v>
      </c>
      <c r="C85" s="188">
        <f t="shared" si="23"/>
        <v>4203009.1687520584</v>
      </c>
      <c r="D85" s="188">
        <f t="shared" si="20"/>
        <v>17512.538203133579</v>
      </c>
      <c r="E85" s="188">
        <f t="shared" si="27"/>
        <v>7852.283484189993</v>
      </c>
      <c r="F85" s="188">
        <f t="shared" si="21"/>
        <v>25364.821687323572</v>
      </c>
      <c r="G85" s="188">
        <f t="shared" si="22"/>
        <v>4195156.8852678686</v>
      </c>
      <c r="H85" s="188">
        <f>G90*J$2/12</f>
        <v>0</v>
      </c>
      <c r="I85" s="188">
        <f t="shared" si="28"/>
        <v>0</v>
      </c>
      <c r="J85" s="188">
        <f t="shared" si="29"/>
        <v>0</v>
      </c>
      <c r="K85" s="188">
        <f t="shared" si="24"/>
        <v>0</v>
      </c>
      <c r="L85" s="188">
        <f t="shared" si="25"/>
        <v>25364.821687323572</v>
      </c>
    </row>
    <row r="86" spans="1:12">
      <c r="A86" s="114">
        <v>7</v>
      </c>
      <c r="B86" s="182">
        <f t="shared" si="26"/>
        <v>80</v>
      </c>
      <c r="C86" s="188">
        <f t="shared" si="23"/>
        <v>4195156.8852678686</v>
      </c>
      <c r="D86" s="188">
        <f t="shared" si="20"/>
        <v>17479.820355282787</v>
      </c>
      <c r="E86" s="188">
        <f t="shared" si="27"/>
        <v>7885.0013320407852</v>
      </c>
      <c r="F86" s="188">
        <f t="shared" si="21"/>
        <v>25364.821687323572</v>
      </c>
      <c r="G86" s="188">
        <f t="shared" si="22"/>
        <v>4187271.8839358278</v>
      </c>
      <c r="H86" s="188">
        <f>G90*J$2/12</f>
        <v>0</v>
      </c>
      <c r="I86" s="188">
        <f t="shared" si="28"/>
        <v>0</v>
      </c>
      <c r="J86" s="188">
        <f t="shared" si="29"/>
        <v>0</v>
      </c>
      <c r="K86" s="188">
        <f t="shared" si="24"/>
        <v>0</v>
      </c>
      <c r="L86" s="188">
        <f t="shared" si="25"/>
        <v>25364.821687323572</v>
      </c>
    </row>
    <row r="87" spans="1:12">
      <c r="A87" s="114">
        <v>7</v>
      </c>
      <c r="B87" s="182">
        <f t="shared" si="26"/>
        <v>81</v>
      </c>
      <c r="C87" s="188">
        <f t="shared" si="23"/>
        <v>4187271.8839358278</v>
      </c>
      <c r="D87" s="188">
        <f t="shared" si="20"/>
        <v>17446.96618306595</v>
      </c>
      <c r="E87" s="188">
        <f t="shared" si="27"/>
        <v>7917.8555042576227</v>
      </c>
      <c r="F87" s="188">
        <f t="shared" si="21"/>
        <v>25364.821687323572</v>
      </c>
      <c r="G87" s="188">
        <f t="shared" si="22"/>
        <v>4179354.0284315702</v>
      </c>
      <c r="H87" s="188">
        <f>G90*J$2/12</f>
        <v>0</v>
      </c>
      <c r="I87" s="188">
        <f t="shared" si="28"/>
        <v>0</v>
      </c>
      <c r="J87" s="188">
        <f t="shared" si="29"/>
        <v>0</v>
      </c>
      <c r="K87" s="188">
        <f t="shared" si="24"/>
        <v>0</v>
      </c>
      <c r="L87" s="188">
        <f t="shared" si="25"/>
        <v>25364.821687323572</v>
      </c>
    </row>
    <row r="88" spans="1:12">
      <c r="A88" s="114">
        <v>7</v>
      </c>
      <c r="B88" s="182">
        <f t="shared" si="26"/>
        <v>82</v>
      </c>
      <c r="C88" s="188">
        <f t="shared" si="23"/>
        <v>4179354.0284315702</v>
      </c>
      <c r="D88" s="188">
        <f t="shared" si="20"/>
        <v>17413.975118464878</v>
      </c>
      <c r="E88" s="188">
        <f t="shared" si="27"/>
        <v>7950.8465688586948</v>
      </c>
      <c r="F88" s="188">
        <f t="shared" si="21"/>
        <v>25364.821687323572</v>
      </c>
      <c r="G88" s="188">
        <f t="shared" si="22"/>
        <v>4171403.1818627114</v>
      </c>
      <c r="H88" s="188">
        <f>G90*J$2/12</f>
        <v>0</v>
      </c>
      <c r="I88" s="188">
        <f t="shared" si="28"/>
        <v>0</v>
      </c>
      <c r="J88" s="188">
        <f t="shared" si="29"/>
        <v>0</v>
      </c>
      <c r="K88" s="188">
        <f t="shared" si="24"/>
        <v>0</v>
      </c>
      <c r="L88" s="188">
        <f t="shared" si="25"/>
        <v>25364.821687323572</v>
      </c>
    </row>
    <row r="89" spans="1:12">
      <c r="A89" s="114">
        <v>7</v>
      </c>
      <c r="B89" s="182">
        <f t="shared" si="26"/>
        <v>83</v>
      </c>
      <c r="C89" s="188">
        <f t="shared" si="23"/>
        <v>4171403.1818627114</v>
      </c>
      <c r="D89" s="188">
        <f t="shared" si="20"/>
        <v>17380.846591094632</v>
      </c>
      <c r="E89" s="188">
        <f t="shared" si="27"/>
        <v>7983.9750962289399</v>
      </c>
      <c r="F89" s="188">
        <f t="shared" si="21"/>
        <v>25364.821687323572</v>
      </c>
      <c r="G89" s="188">
        <f t="shared" si="22"/>
        <v>4163419.2067664824</v>
      </c>
      <c r="H89" s="188">
        <f>G90*J$2/12</f>
        <v>0</v>
      </c>
      <c r="I89" s="188">
        <f t="shared" si="28"/>
        <v>0</v>
      </c>
      <c r="J89" s="188">
        <f t="shared" si="29"/>
        <v>0</v>
      </c>
      <c r="K89" s="188">
        <f t="shared" si="24"/>
        <v>0</v>
      </c>
      <c r="L89" s="188">
        <f t="shared" si="25"/>
        <v>25364.821687323572</v>
      </c>
    </row>
    <row r="90" spans="1:12">
      <c r="A90" s="238">
        <v>7</v>
      </c>
      <c r="B90" s="239">
        <f t="shared" si="26"/>
        <v>84</v>
      </c>
      <c r="C90" s="240">
        <f t="shared" si="23"/>
        <v>4163419.2067664824</v>
      </c>
      <c r="D90" s="240">
        <f t="shared" si="20"/>
        <v>17347.580028193679</v>
      </c>
      <c r="E90" s="240">
        <f t="shared" si="27"/>
        <v>8017.2416591298934</v>
      </c>
      <c r="F90" s="240">
        <f t="shared" si="21"/>
        <v>25364.821687323572</v>
      </c>
      <c r="G90" s="240">
        <f t="shared" si="22"/>
        <v>4155401.9651073525</v>
      </c>
      <c r="H90" s="240">
        <f>G90*J$2/12</f>
        <v>0</v>
      </c>
      <c r="I90" s="240">
        <f t="shared" si="28"/>
        <v>0</v>
      </c>
      <c r="J90" s="240">
        <f t="shared" si="29"/>
        <v>0</v>
      </c>
      <c r="K90" s="240">
        <f t="shared" si="24"/>
        <v>0</v>
      </c>
      <c r="L90" s="240">
        <f t="shared" si="25"/>
        <v>25364.821687323572</v>
      </c>
    </row>
    <row r="91" spans="1:12">
      <c r="A91" s="114">
        <v>8</v>
      </c>
      <c r="B91" s="182">
        <f t="shared" si="26"/>
        <v>85</v>
      </c>
      <c r="C91" s="188">
        <f t="shared" si="23"/>
        <v>4155401.9651073525</v>
      </c>
      <c r="D91" s="188">
        <f t="shared" si="20"/>
        <v>17314.174854613968</v>
      </c>
      <c r="E91" s="188">
        <f t="shared" si="27"/>
        <v>8050.6468327096045</v>
      </c>
      <c r="F91" s="188">
        <f t="shared" si="21"/>
        <v>25364.821687323572</v>
      </c>
      <c r="G91" s="188">
        <f t="shared" si="22"/>
        <v>4147351.3182746428</v>
      </c>
      <c r="H91" s="188">
        <f>G102*J$2/12</f>
        <v>0</v>
      </c>
      <c r="I91" s="188">
        <f t="shared" ref="I91:I102" si="30">(($C$91*$I$4)/12)</f>
        <v>0</v>
      </c>
      <c r="J91" s="188">
        <f t="shared" ref="J91:J102" si="31">(($C$91*$J$4)/12)</f>
        <v>0</v>
      </c>
      <c r="K91" s="188">
        <f t="shared" si="24"/>
        <v>0</v>
      </c>
      <c r="L91" s="188">
        <f t="shared" si="25"/>
        <v>25364.821687323572</v>
      </c>
    </row>
    <row r="92" spans="1:12">
      <c r="A92" s="114">
        <v>8</v>
      </c>
      <c r="B92" s="182">
        <f t="shared" si="26"/>
        <v>86</v>
      </c>
      <c r="C92" s="188">
        <f t="shared" si="23"/>
        <v>4147351.3182746428</v>
      </c>
      <c r="D92" s="188">
        <f t="shared" si="20"/>
        <v>17280.630492811015</v>
      </c>
      <c r="E92" s="188">
        <f t="shared" si="27"/>
        <v>8084.1911945125576</v>
      </c>
      <c r="F92" s="188">
        <f t="shared" si="21"/>
        <v>25364.821687323572</v>
      </c>
      <c r="G92" s="188">
        <f t="shared" si="22"/>
        <v>4139267.1270801304</v>
      </c>
      <c r="H92" s="188">
        <f>G102*J$2/12</f>
        <v>0</v>
      </c>
      <c r="I92" s="188">
        <f t="shared" si="30"/>
        <v>0</v>
      </c>
      <c r="J92" s="188">
        <f t="shared" si="31"/>
        <v>0</v>
      </c>
      <c r="K92" s="188">
        <f t="shared" si="24"/>
        <v>0</v>
      </c>
      <c r="L92" s="188">
        <f t="shared" si="25"/>
        <v>25364.821687323572</v>
      </c>
    </row>
    <row r="93" spans="1:12">
      <c r="A93" s="114">
        <v>8</v>
      </c>
      <c r="B93" s="182">
        <f t="shared" si="26"/>
        <v>87</v>
      </c>
      <c r="C93" s="188">
        <f t="shared" si="23"/>
        <v>4139267.1270801304</v>
      </c>
      <c r="D93" s="188">
        <f t="shared" si="20"/>
        <v>17246.946362833878</v>
      </c>
      <c r="E93" s="188">
        <f t="shared" si="27"/>
        <v>8117.8753244896943</v>
      </c>
      <c r="F93" s="188">
        <f t="shared" si="21"/>
        <v>25364.821687323572</v>
      </c>
      <c r="G93" s="188">
        <f t="shared" si="22"/>
        <v>4131149.2517556408</v>
      </c>
      <c r="H93" s="188">
        <f>G102*J$2/12</f>
        <v>0</v>
      </c>
      <c r="I93" s="188">
        <f t="shared" si="30"/>
        <v>0</v>
      </c>
      <c r="J93" s="188">
        <f t="shared" si="31"/>
        <v>0</v>
      </c>
      <c r="K93" s="188">
        <f t="shared" si="24"/>
        <v>0</v>
      </c>
      <c r="L93" s="188">
        <f t="shared" si="25"/>
        <v>25364.821687323572</v>
      </c>
    </row>
    <row r="94" spans="1:12">
      <c r="A94" s="114">
        <v>8</v>
      </c>
      <c r="B94" s="182">
        <f t="shared" si="26"/>
        <v>88</v>
      </c>
      <c r="C94" s="188">
        <f t="shared" si="23"/>
        <v>4131149.2517556408</v>
      </c>
      <c r="D94" s="188">
        <f t="shared" si="20"/>
        <v>17213.121882315172</v>
      </c>
      <c r="E94" s="188">
        <f t="shared" si="27"/>
        <v>8151.6998050084003</v>
      </c>
      <c r="F94" s="188">
        <f t="shared" si="21"/>
        <v>25364.821687323572</v>
      </c>
      <c r="G94" s="188">
        <f t="shared" si="22"/>
        <v>4122997.5519506326</v>
      </c>
      <c r="H94" s="188">
        <f>G102*J$2/12</f>
        <v>0</v>
      </c>
      <c r="I94" s="188">
        <f t="shared" si="30"/>
        <v>0</v>
      </c>
      <c r="J94" s="188">
        <f t="shared" si="31"/>
        <v>0</v>
      </c>
      <c r="K94" s="188">
        <f t="shared" si="24"/>
        <v>0</v>
      </c>
      <c r="L94" s="188">
        <f t="shared" si="25"/>
        <v>25364.821687323572</v>
      </c>
    </row>
    <row r="95" spans="1:12">
      <c r="A95" s="114">
        <v>8</v>
      </c>
      <c r="B95" s="182">
        <f t="shared" si="26"/>
        <v>89</v>
      </c>
      <c r="C95" s="188">
        <f t="shared" si="23"/>
        <v>4122997.5519506326</v>
      </c>
      <c r="D95" s="188">
        <f t="shared" si="20"/>
        <v>17179.156466460972</v>
      </c>
      <c r="E95" s="188">
        <f t="shared" si="27"/>
        <v>8185.6652208626001</v>
      </c>
      <c r="F95" s="188">
        <f t="shared" si="21"/>
        <v>25364.821687323572</v>
      </c>
      <c r="G95" s="188">
        <f t="shared" si="22"/>
        <v>4114811.8867297699</v>
      </c>
      <c r="H95" s="188">
        <f>G102*J$2/12</f>
        <v>0</v>
      </c>
      <c r="I95" s="188">
        <f t="shared" si="30"/>
        <v>0</v>
      </c>
      <c r="J95" s="188">
        <f t="shared" si="31"/>
        <v>0</v>
      </c>
      <c r="K95" s="188">
        <f t="shared" si="24"/>
        <v>0</v>
      </c>
      <c r="L95" s="188">
        <f t="shared" si="25"/>
        <v>25364.821687323572</v>
      </c>
    </row>
    <row r="96" spans="1:12">
      <c r="A96" s="114">
        <v>8</v>
      </c>
      <c r="B96" s="182">
        <f t="shared" si="26"/>
        <v>90</v>
      </c>
      <c r="C96" s="188">
        <f t="shared" si="23"/>
        <v>4114811.8867297699</v>
      </c>
      <c r="D96" s="188">
        <f t="shared" si="20"/>
        <v>17145.049528040709</v>
      </c>
      <c r="E96" s="188">
        <f t="shared" si="27"/>
        <v>8219.7721592828639</v>
      </c>
      <c r="F96" s="188">
        <f t="shared" si="21"/>
        <v>25364.821687323572</v>
      </c>
      <c r="G96" s="188">
        <f t="shared" si="22"/>
        <v>4106592.1145704868</v>
      </c>
      <c r="H96" s="188">
        <f>G102*J$2/12</f>
        <v>0</v>
      </c>
      <c r="I96" s="188">
        <f t="shared" si="30"/>
        <v>0</v>
      </c>
      <c r="J96" s="188">
        <f t="shared" si="31"/>
        <v>0</v>
      </c>
      <c r="K96" s="188">
        <f t="shared" si="24"/>
        <v>0</v>
      </c>
      <c r="L96" s="188">
        <f t="shared" si="25"/>
        <v>25364.821687323572</v>
      </c>
    </row>
    <row r="97" spans="1:12">
      <c r="A97" s="114">
        <v>8</v>
      </c>
      <c r="B97" s="182">
        <f t="shared" si="26"/>
        <v>91</v>
      </c>
      <c r="C97" s="188">
        <f t="shared" si="23"/>
        <v>4106592.1145704868</v>
      </c>
      <c r="D97" s="188">
        <f t="shared" si="20"/>
        <v>17110.80047737703</v>
      </c>
      <c r="E97" s="188">
        <f t="shared" si="27"/>
        <v>8254.0212099465425</v>
      </c>
      <c r="F97" s="188">
        <f t="shared" si="21"/>
        <v>25364.821687323572</v>
      </c>
      <c r="G97" s="188">
        <f t="shared" si="22"/>
        <v>4098338.0933605405</v>
      </c>
      <c r="H97" s="188">
        <f>G102*J$2/12</f>
        <v>0</v>
      </c>
      <c r="I97" s="188">
        <f t="shared" si="30"/>
        <v>0</v>
      </c>
      <c r="J97" s="188">
        <f t="shared" si="31"/>
        <v>0</v>
      </c>
      <c r="K97" s="188">
        <f t="shared" si="24"/>
        <v>0</v>
      </c>
      <c r="L97" s="188">
        <f t="shared" si="25"/>
        <v>25364.821687323572</v>
      </c>
    </row>
    <row r="98" spans="1:12">
      <c r="A98" s="114">
        <v>8</v>
      </c>
      <c r="B98" s="182">
        <f t="shared" si="26"/>
        <v>92</v>
      </c>
      <c r="C98" s="188">
        <f t="shared" si="23"/>
        <v>4098338.0933605405</v>
      </c>
      <c r="D98" s="188">
        <f t="shared" si="20"/>
        <v>17076.408722335585</v>
      </c>
      <c r="E98" s="188">
        <f t="shared" si="27"/>
        <v>8288.4129649879869</v>
      </c>
      <c r="F98" s="188">
        <f t="shared" si="21"/>
        <v>25364.821687323572</v>
      </c>
      <c r="G98" s="188">
        <f t="shared" si="22"/>
        <v>4090049.6803955524</v>
      </c>
      <c r="H98" s="188">
        <f>G102*J$2/12</f>
        <v>0</v>
      </c>
      <c r="I98" s="188">
        <f t="shared" si="30"/>
        <v>0</v>
      </c>
      <c r="J98" s="188">
        <f t="shared" si="31"/>
        <v>0</v>
      </c>
      <c r="K98" s="188">
        <f t="shared" si="24"/>
        <v>0</v>
      </c>
      <c r="L98" s="188">
        <f t="shared" si="25"/>
        <v>25364.821687323572</v>
      </c>
    </row>
    <row r="99" spans="1:12">
      <c r="A99" s="114">
        <v>8</v>
      </c>
      <c r="B99" s="182">
        <f t="shared" si="26"/>
        <v>93</v>
      </c>
      <c r="C99" s="188">
        <f t="shared" si="23"/>
        <v>4090049.6803955524</v>
      </c>
      <c r="D99" s="188">
        <f t="shared" si="20"/>
        <v>17041.873668314802</v>
      </c>
      <c r="E99" s="188">
        <f t="shared" si="27"/>
        <v>8322.9480190087706</v>
      </c>
      <c r="F99" s="188">
        <f t="shared" si="21"/>
        <v>25364.821687323572</v>
      </c>
      <c r="G99" s="188">
        <f t="shared" si="22"/>
        <v>4081726.7323765438</v>
      </c>
      <c r="H99" s="188">
        <f>G102*J$2/12</f>
        <v>0</v>
      </c>
      <c r="I99" s="188">
        <f t="shared" si="30"/>
        <v>0</v>
      </c>
      <c r="J99" s="188">
        <f t="shared" si="31"/>
        <v>0</v>
      </c>
      <c r="K99" s="188">
        <f t="shared" si="24"/>
        <v>0</v>
      </c>
      <c r="L99" s="188">
        <f t="shared" si="25"/>
        <v>25364.821687323572</v>
      </c>
    </row>
    <row r="100" spans="1:12">
      <c r="A100" s="114">
        <v>8</v>
      </c>
      <c r="B100" s="182">
        <f t="shared" si="26"/>
        <v>94</v>
      </c>
      <c r="C100" s="188">
        <f t="shared" si="23"/>
        <v>4081726.7323765438</v>
      </c>
      <c r="D100" s="188">
        <f t="shared" si="20"/>
        <v>17007.194718235598</v>
      </c>
      <c r="E100" s="188">
        <f t="shared" si="27"/>
        <v>8357.6269690879744</v>
      </c>
      <c r="F100" s="188">
        <f t="shared" si="21"/>
        <v>25364.821687323572</v>
      </c>
      <c r="G100" s="188">
        <f t="shared" si="22"/>
        <v>4073369.1054074559</v>
      </c>
      <c r="H100" s="188">
        <f>G102*J$2/12</f>
        <v>0</v>
      </c>
      <c r="I100" s="188">
        <f t="shared" si="30"/>
        <v>0</v>
      </c>
      <c r="J100" s="188">
        <f t="shared" si="31"/>
        <v>0</v>
      </c>
      <c r="K100" s="188">
        <f t="shared" si="24"/>
        <v>0</v>
      </c>
      <c r="L100" s="188">
        <f t="shared" si="25"/>
        <v>25364.821687323572</v>
      </c>
    </row>
    <row r="101" spans="1:12">
      <c r="A101" s="114">
        <v>8</v>
      </c>
      <c r="B101" s="182">
        <f t="shared" si="26"/>
        <v>95</v>
      </c>
      <c r="C101" s="188">
        <f t="shared" si="23"/>
        <v>4073369.1054074559</v>
      </c>
      <c r="D101" s="188">
        <f t="shared" si="20"/>
        <v>16972.371272531065</v>
      </c>
      <c r="E101" s="188">
        <f t="shared" si="27"/>
        <v>8392.4504147925072</v>
      </c>
      <c r="F101" s="188">
        <f t="shared" si="21"/>
        <v>25364.821687323572</v>
      </c>
      <c r="G101" s="188">
        <f t="shared" si="22"/>
        <v>4064976.6549926633</v>
      </c>
      <c r="H101" s="188">
        <f>G102*J$2/12</f>
        <v>0</v>
      </c>
      <c r="I101" s="188">
        <f t="shared" si="30"/>
        <v>0</v>
      </c>
      <c r="J101" s="188">
        <f t="shared" si="31"/>
        <v>0</v>
      </c>
      <c r="K101" s="188">
        <f t="shared" si="24"/>
        <v>0</v>
      </c>
      <c r="L101" s="188">
        <f t="shared" si="25"/>
        <v>25364.821687323572</v>
      </c>
    </row>
    <row r="102" spans="1:12">
      <c r="A102" s="238">
        <v>8</v>
      </c>
      <c r="B102" s="239">
        <f t="shared" si="26"/>
        <v>96</v>
      </c>
      <c r="C102" s="240">
        <f t="shared" si="23"/>
        <v>4064976.6549926633</v>
      </c>
      <c r="D102" s="240">
        <f t="shared" si="20"/>
        <v>16937.402729136098</v>
      </c>
      <c r="E102" s="240">
        <f t="shared" si="27"/>
        <v>8427.4189581874743</v>
      </c>
      <c r="F102" s="240">
        <f t="shared" si="21"/>
        <v>25364.821687323572</v>
      </c>
      <c r="G102" s="240">
        <f t="shared" si="22"/>
        <v>4056549.2360344757</v>
      </c>
      <c r="H102" s="240">
        <f>G102*J$2/12</f>
        <v>0</v>
      </c>
      <c r="I102" s="240">
        <f t="shared" si="30"/>
        <v>0</v>
      </c>
      <c r="J102" s="240">
        <f t="shared" si="31"/>
        <v>0</v>
      </c>
      <c r="K102" s="240">
        <f t="shared" si="24"/>
        <v>0</v>
      </c>
      <c r="L102" s="240">
        <f t="shared" si="25"/>
        <v>25364.821687323572</v>
      </c>
    </row>
    <row r="103" spans="1:12">
      <c r="A103" s="114">
        <v>9</v>
      </c>
      <c r="B103" s="182">
        <f t="shared" si="26"/>
        <v>97</v>
      </c>
      <c r="C103" s="188">
        <f t="shared" si="23"/>
        <v>4056549.2360344757</v>
      </c>
      <c r="D103" s="188">
        <f t="shared" si="20"/>
        <v>16902.288483476983</v>
      </c>
      <c r="E103" s="188">
        <f t="shared" si="27"/>
        <v>8462.5332038465895</v>
      </c>
      <c r="F103" s="188">
        <f t="shared" si="21"/>
        <v>25364.821687323572</v>
      </c>
      <c r="G103" s="188">
        <f t="shared" si="22"/>
        <v>4048086.702830629</v>
      </c>
      <c r="H103" s="188">
        <f>G114*J$2/12</f>
        <v>0</v>
      </c>
      <c r="I103" s="188">
        <f t="shared" ref="I103:I114" si="32">(($C$103*$I$4)/12)</f>
        <v>0</v>
      </c>
      <c r="J103" s="188">
        <f t="shared" ref="J103:J114" si="33">(($C$103*$J$4)/12)</f>
        <v>0</v>
      </c>
      <c r="K103" s="188">
        <f t="shared" si="24"/>
        <v>0</v>
      </c>
      <c r="L103" s="188">
        <f t="shared" si="25"/>
        <v>25364.821687323572</v>
      </c>
    </row>
    <row r="104" spans="1:12">
      <c r="A104" s="114">
        <v>9</v>
      </c>
      <c r="B104" s="182">
        <f t="shared" si="26"/>
        <v>98</v>
      </c>
      <c r="C104" s="188">
        <f t="shared" si="23"/>
        <v>4048086.702830629</v>
      </c>
      <c r="D104" s="188">
        <f t="shared" si="20"/>
        <v>16867.027928460953</v>
      </c>
      <c r="E104" s="188">
        <f t="shared" si="27"/>
        <v>8497.7937588626191</v>
      </c>
      <c r="F104" s="188">
        <f t="shared" si="21"/>
        <v>25364.821687323572</v>
      </c>
      <c r="G104" s="188">
        <f t="shared" si="22"/>
        <v>4039588.9090717663</v>
      </c>
      <c r="H104" s="188">
        <f>G114*J$2/12</f>
        <v>0</v>
      </c>
      <c r="I104" s="188">
        <f t="shared" si="32"/>
        <v>0</v>
      </c>
      <c r="J104" s="188">
        <f t="shared" si="33"/>
        <v>0</v>
      </c>
      <c r="K104" s="188">
        <f t="shared" si="24"/>
        <v>0</v>
      </c>
      <c r="L104" s="188">
        <f t="shared" si="25"/>
        <v>25364.821687323572</v>
      </c>
    </row>
    <row r="105" spans="1:12">
      <c r="A105" s="114">
        <v>9</v>
      </c>
      <c r="B105" s="182">
        <f t="shared" si="26"/>
        <v>99</v>
      </c>
      <c r="C105" s="188">
        <f t="shared" si="23"/>
        <v>4039588.9090717663</v>
      </c>
      <c r="D105" s="188">
        <f t="shared" si="20"/>
        <v>16831.620454465694</v>
      </c>
      <c r="E105" s="188">
        <f t="shared" si="27"/>
        <v>8533.2012328578785</v>
      </c>
      <c r="F105" s="188">
        <f t="shared" si="21"/>
        <v>25364.821687323572</v>
      </c>
      <c r="G105" s="188">
        <f t="shared" si="22"/>
        <v>4031055.7078389083</v>
      </c>
      <c r="H105" s="188">
        <f>G114*J$2/12</f>
        <v>0</v>
      </c>
      <c r="I105" s="188">
        <f t="shared" si="32"/>
        <v>0</v>
      </c>
      <c r="J105" s="188">
        <f t="shared" si="33"/>
        <v>0</v>
      </c>
      <c r="K105" s="188">
        <f t="shared" si="24"/>
        <v>0</v>
      </c>
      <c r="L105" s="188">
        <f t="shared" si="25"/>
        <v>25364.821687323572</v>
      </c>
    </row>
    <row r="106" spans="1:12">
      <c r="A106" s="114">
        <v>9</v>
      </c>
      <c r="B106" s="182">
        <f t="shared" si="26"/>
        <v>100</v>
      </c>
      <c r="C106" s="188">
        <f t="shared" si="23"/>
        <v>4031055.7078389083</v>
      </c>
      <c r="D106" s="188">
        <f t="shared" si="20"/>
        <v>16796.065449328784</v>
      </c>
      <c r="E106" s="188">
        <f t="shared" si="27"/>
        <v>8568.7562379947885</v>
      </c>
      <c r="F106" s="188">
        <f t="shared" si="21"/>
        <v>25364.821687323572</v>
      </c>
      <c r="G106" s="188">
        <f t="shared" si="22"/>
        <v>4022486.9516009134</v>
      </c>
      <c r="H106" s="188">
        <f>G114*J$2/12</f>
        <v>0</v>
      </c>
      <c r="I106" s="188">
        <f t="shared" si="32"/>
        <v>0</v>
      </c>
      <c r="J106" s="188">
        <f t="shared" si="33"/>
        <v>0</v>
      </c>
      <c r="K106" s="188">
        <f t="shared" si="24"/>
        <v>0</v>
      </c>
      <c r="L106" s="188">
        <f t="shared" si="25"/>
        <v>25364.821687323572</v>
      </c>
    </row>
    <row r="107" spans="1:12">
      <c r="A107" s="114">
        <v>9</v>
      </c>
      <c r="B107" s="182">
        <f t="shared" si="26"/>
        <v>101</v>
      </c>
      <c r="C107" s="188">
        <f t="shared" si="23"/>
        <v>4022486.9516009134</v>
      </c>
      <c r="D107" s="188">
        <f t="shared" si="20"/>
        <v>16760.362298337142</v>
      </c>
      <c r="E107" s="188">
        <f t="shared" si="27"/>
        <v>8604.45938898643</v>
      </c>
      <c r="F107" s="188">
        <f t="shared" si="21"/>
        <v>25364.821687323572</v>
      </c>
      <c r="G107" s="188">
        <f t="shared" si="22"/>
        <v>4013882.4922119272</v>
      </c>
      <c r="H107" s="188">
        <f>G114*J$2/12</f>
        <v>0</v>
      </c>
      <c r="I107" s="188">
        <f t="shared" si="32"/>
        <v>0</v>
      </c>
      <c r="J107" s="188">
        <f t="shared" si="33"/>
        <v>0</v>
      </c>
      <c r="K107" s="188">
        <f t="shared" si="24"/>
        <v>0</v>
      </c>
      <c r="L107" s="188">
        <f t="shared" si="25"/>
        <v>25364.821687323572</v>
      </c>
    </row>
    <row r="108" spans="1:12">
      <c r="A108" s="114">
        <v>9</v>
      </c>
      <c r="B108" s="182">
        <f t="shared" si="26"/>
        <v>102</v>
      </c>
      <c r="C108" s="188">
        <f t="shared" si="23"/>
        <v>4013882.4922119272</v>
      </c>
      <c r="D108" s="188">
        <f t="shared" si="20"/>
        <v>16724.510384216363</v>
      </c>
      <c r="E108" s="188">
        <f t="shared" si="27"/>
        <v>8640.3113031072098</v>
      </c>
      <c r="F108" s="188">
        <f t="shared" si="21"/>
        <v>25364.821687323572</v>
      </c>
      <c r="G108" s="188">
        <f t="shared" si="22"/>
        <v>4005242.1809088201</v>
      </c>
      <c r="H108" s="188">
        <f>G114*J$2/12</f>
        <v>0</v>
      </c>
      <c r="I108" s="188">
        <f t="shared" si="32"/>
        <v>0</v>
      </c>
      <c r="J108" s="188">
        <f t="shared" si="33"/>
        <v>0</v>
      </c>
      <c r="K108" s="188">
        <f t="shared" si="24"/>
        <v>0</v>
      </c>
      <c r="L108" s="188">
        <f t="shared" si="25"/>
        <v>25364.821687323572</v>
      </c>
    </row>
    <row r="109" spans="1:12">
      <c r="A109" s="114">
        <v>9</v>
      </c>
      <c r="B109" s="182">
        <f t="shared" si="26"/>
        <v>103</v>
      </c>
      <c r="C109" s="188">
        <f t="shared" si="23"/>
        <v>4005242.1809088201</v>
      </c>
      <c r="D109" s="188">
        <f t="shared" si="20"/>
        <v>16688.509087120085</v>
      </c>
      <c r="E109" s="188">
        <f t="shared" si="27"/>
        <v>8676.3126002034878</v>
      </c>
      <c r="F109" s="188">
        <f t="shared" si="21"/>
        <v>25364.821687323572</v>
      </c>
      <c r="G109" s="188">
        <f t="shared" si="22"/>
        <v>3996565.8683086168</v>
      </c>
      <c r="H109" s="188">
        <f>G114*J$2/12</f>
        <v>0</v>
      </c>
      <c r="I109" s="188">
        <f t="shared" si="32"/>
        <v>0</v>
      </c>
      <c r="J109" s="188">
        <f t="shared" si="33"/>
        <v>0</v>
      </c>
      <c r="K109" s="188">
        <f t="shared" si="24"/>
        <v>0</v>
      </c>
      <c r="L109" s="188">
        <f t="shared" si="25"/>
        <v>25364.821687323572</v>
      </c>
    </row>
    <row r="110" spans="1:12">
      <c r="A110" s="114">
        <v>9</v>
      </c>
      <c r="B110" s="182">
        <f t="shared" si="26"/>
        <v>104</v>
      </c>
      <c r="C110" s="188">
        <f t="shared" si="23"/>
        <v>3996565.8683086168</v>
      </c>
      <c r="D110" s="188">
        <f t="shared" si="20"/>
        <v>16652.357784619238</v>
      </c>
      <c r="E110" s="188">
        <f t="shared" si="27"/>
        <v>8712.463902704334</v>
      </c>
      <c r="F110" s="188">
        <f t="shared" si="21"/>
        <v>25364.821687323572</v>
      </c>
      <c r="G110" s="188">
        <f t="shared" si="22"/>
        <v>3987853.4044059124</v>
      </c>
      <c r="H110" s="188">
        <f>G114*J$2/12</f>
        <v>0</v>
      </c>
      <c r="I110" s="188">
        <f t="shared" si="32"/>
        <v>0</v>
      </c>
      <c r="J110" s="188">
        <f t="shared" si="33"/>
        <v>0</v>
      </c>
      <c r="K110" s="188">
        <f t="shared" si="24"/>
        <v>0</v>
      </c>
      <c r="L110" s="188">
        <f t="shared" si="25"/>
        <v>25364.821687323572</v>
      </c>
    </row>
    <row r="111" spans="1:12">
      <c r="A111" s="114">
        <v>9</v>
      </c>
      <c r="B111" s="182">
        <f t="shared" si="26"/>
        <v>105</v>
      </c>
      <c r="C111" s="188">
        <f t="shared" si="23"/>
        <v>3987853.4044059124</v>
      </c>
      <c r="D111" s="188">
        <f t="shared" si="20"/>
        <v>16616.055851691304</v>
      </c>
      <c r="E111" s="188">
        <f t="shared" si="27"/>
        <v>8748.7658356322681</v>
      </c>
      <c r="F111" s="188">
        <f t="shared" si="21"/>
        <v>25364.821687323572</v>
      </c>
      <c r="G111" s="188">
        <f t="shared" si="22"/>
        <v>3979104.6385702803</v>
      </c>
      <c r="H111" s="188">
        <f>G114*J$2/12</f>
        <v>0</v>
      </c>
      <c r="I111" s="188">
        <f t="shared" si="32"/>
        <v>0</v>
      </c>
      <c r="J111" s="188">
        <f t="shared" si="33"/>
        <v>0</v>
      </c>
      <c r="K111" s="188">
        <f t="shared" si="24"/>
        <v>0</v>
      </c>
      <c r="L111" s="188">
        <f t="shared" si="25"/>
        <v>25364.821687323572</v>
      </c>
    </row>
    <row r="112" spans="1:12">
      <c r="A112" s="114">
        <v>9</v>
      </c>
      <c r="B112" s="182">
        <f t="shared" si="26"/>
        <v>106</v>
      </c>
      <c r="C112" s="188">
        <f t="shared" si="23"/>
        <v>3979104.6385702803</v>
      </c>
      <c r="D112" s="188">
        <f t="shared" si="20"/>
        <v>16579.602660709501</v>
      </c>
      <c r="E112" s="188">
        <f t="shared" si="27"/>
        <v>8785.2190266140715</v>
      </c>
      <c r="F112" s="188">
        <f t="shared" si="21"/>
        <v>25364.821687323572</v>
      </c>
      <c r="G112" s="188">
        <f t="shared" si="22"/>
        <v>3970319.4195436663</v>
      </c>
      <c r="H112" s="188">
        <f>G114*J$2/12</f>
        <v>0</v>
      </c>
      <c r="I112" s="188">
        <f t="shared" si="32"/>
        <v>0</v>
      </c>
      <c r="J112" s="188">
        <f t="shared" si="33"/>
        <v>0</v>
      </c>
      <c r="K112" s="188">
        <f t="shared" si="24"/>
        <v>0</v>
      </c>
      <c r="L112" s="188">
        <f t="shared" si="25"/>
        <v>25364.821687323572</v>
      </c>
    </row>
    <row r="113" spans="1:12">
      <c r="A113" s="114">
        <v>9</v>
      </c>
      <c r="B113" s="182">
        <f t="shared" si="26"/>
        <v>107</v>
      </c>
      <c r="C113" s="188">
        <f t="shared" si="23"/>
        <v>3970319.4195436663</v>
      </c>
      <c r="D113" s="188">
        <f t="shared" si="20"/>
        <v>16542.997581431944</v>
      </c>
      <c r="E113" s="188">
        <f t="shared" si="27"/>
        <v>8821.8241058916283</v>
      </c>
      <c r="F113" s="188">
        <f t="shared" si="21"/>
        <v>25364.821687323572</v>
      </c>
      <c r="G113" s="188">
        <f t="shared" si="22"/>
        <v>3961497.5954377749</v>
      </c>
      <c r="H113" s="188">
        <f>G114*J$2/12</f>
        <v>0</v>
      </c>
      <c r="I113" s="188">
        <f t="shared" si="32"/>
        <v>0</v>
      </c>
      <c r="J113" s="188">
        <f t="shared" si="33"/>
        <v>0</v>
      </c>
      <c r="K113" s="188">
        <f t="shared" si="24"/>
        <v>0</v>
      </c>
      <c r="L113" s="188">
        <f t="shared" si="25"/>
        <v>25364.821687323572</v>
      </c>
    </row>
    <row r="114" spans="1:12">
      <c r="A114" s="238">
        <v>9</v>
      </c>
      <c r="B114" s="239">
        <f t="shared" si="26"/>
        <v>108</v>
      </c>
      <c r="C114" s="240">
        <f t="shared" si="23"/>
        <v>3961497.5954377749</v>
      </c>
      <c r="D114" s="240">
        <f t="shared" si="20"/>
        <v>16506.239980990729</v>
      </c>
      <c r="E114" s="240">
        <f t="shared" si="27"/>
        <v>8858.5817063328432</v>
      </c>
      <c r="F114" s="240">
        <f t="shared" si="21"/>
        <v>25364.821687323572</v>
      </c>
      <c r="G114" s="240">
        <f t="shared" si="22"/>
        <v>3952639.0137314419</v>
      </c>
      <c r="H114" s="240">
        <f>G114*J$2/12</f>
        <v>0</v>
      </c>
      <c r="I114" s="240">
        <f t="shared" si="32"/>
        <v>0</v>
      </c>
      <c r="J114" s="240">
        <f t="shared" si="33"/>
        <v>0</v>
      </c>
      <c r="K114" s="240">
        <f t="shared" si="24"/>
        <v>0</v>
      </c>
      <c r="L114" s="240">
        <f t="shared" si="25"/>
        <v>25364.821687323572</v>
      </c>
    </row>
    <row r="115" spans="1:12">
      <c r="A115" s="114">
        <v>10</v>
      </c>
      <c r="B115" s="182">
        <f t="shared" si="26"/>
        <v>109</v>
      </c>
      <c r="C115" s="188">
        <f t="shared" si="23"/>
        <v>3952639.0137314419</v>
      </c>
      <c r="D115" s="188">
        <f t="shared" si="20"/>
        <v>16469.32922388101</v>
      </c>
      <c r="E115" s="188">
        <f t="shared" si="27"/>
        <v>8895.4924634425624</v>
      </c>
      <c r="F115" s="188">
        <f t="shared" si="21"/>
        <v>25364.821687323572</v>
      </c>
      <c r="G115" s="188">
        <f t="shared" si="22"/>
        <v>3943743.5212679994</v>
      </c>
      <c r="H115" s="188">
        <f>G126*J$2/12</f>
        <v>0</v>
      </c>
      <c r="I115" s="188">
        <f t="shared" ref="I115:I126" si="34">(($C$115*$I$4)/12)</f>
        <v>0</v>
      </c>
      <c r="J115" s="188">
        <f t="shared" ref="J115:J126" si="35">(($C$115*$J$4)/12)</f>
        <v>0</v>
      </c>
      <c r="K115" s="188">
        <f t="shared" si="24"/>
        <v>0</v>
      </c>
      <c r="L115" s="188">
        <f t="shared" si="25"/>
        <v>25364.821687323572</v>
      </c>
    </row>
    <row r="116" spans="1:12">
      <c r="A116" s="114">
        <v>10</v>
      </c>
      <c r="B116" s="182">
        <f t="shared" si="26"/>
        <v>110</v>
      </c>
      <c r="C116" s="188">
        <f t="shared" si="23"/>
        <v>3943743.5212679994</v>
      </c>
      <c r="D116" s="188">
        <f t="shared" si="20"/>
        <v>16432.264671950001</v>
      </c>
      <c r="E116" s="188">
        <f t="shared" si="27"/>
        <v>8932.5570153735716</v>
      </c>
      <c r="F116" s="188">
        <f t="shared" si="21"/>
        <v>25364.821687323572</v>
      </c>
      <c r="G116" s="188">
        <f t="shared" si="22"/>
        <v>3934810.9642526261</v>
      </c>
      <c r="H116" s="188">
        <f>G126*J$2/12</f>
        <v>0</v>
      </c>
      <c r="I116" s="188">
        <f t="shared" si="34"/>
        <v>0</v>
      </c>
      <c r="J116" s="188">
        <f t="shared" si="35"/>
        <v>0</v>
      </c>
      <c r="K116" s="188">
        <f t="shared" si="24"/>
        <v>0</v>
      </c>
      <c r="L116" s="188">
        <f t="shared" si="25"/>
        <v>25364.821687323572</v>
      </c>
    </row>
    <row r="117" spans="1:12">
      <c r="A117" s="114">
        <v>10</v>
      </c>
      <c r="B117" s="182">
        <f t="shared" si="26"/>
        <v>111</v>
      </c>
      <c r="C117" s="188">
        <f t="shared" si="23"/>
        <v>3934810.9642526261</v>
      </c>
      <c r="D117" s="188">
        <f t="shared" si="20"/>
        <v>16395.045684385943</v>
      </c>
      <c r="E117" s="188">
        <f t="shared" si="27"/>
        <v>8969.7760029376295</v>
      </c>
      <c r="F117" s="188">
        <f t="shared" si="21"/>
        <v>25364.821687323572</v>
      </c>
      <c r="G117" s="188">
        <f t="shared" si="22"/>
        <v>3925841.1882496886</v>
      </c>
      <c r="H117" s="188">
        <f>G126*J$2/12</f>
        <v>0</v>
      </c>
      <c r="I117" s="188">
        <f t="shared" si="34"/>
        <v>0</v>
      </c>
      <c r="J117" s="188">
        <f t="shared" si="35"/>
        <v>0</v>
      </c>
      <c r="K117" s="188">
        <f t="shared" si="24"/>
        <v>0</v>
      </c>
      <c r="L117" s="188">
        <f t="shared" si="25"/>
        <v>25364.821687323572</v>
      </c>
    </row>
    <row r="118" spans="1:12">
      <c r="A118" s="114">
        <v>10</v>
      </c>
      <c r="B118" s="182">
        <f t="shared" si="26"/>
        <v>112</v>
      </c>
      <c r="C118" s="188">
        <f t="shared" si="23"/>
        <v>3925841.1882496886</v>
      </c>
      <c r="D118" s="188">
        <f t="shared" si="20"/>
        <v>16357.671617707036</v>
      </c>
      <c r="E118" s="188">
        <f t="shared" si="27"/>
        <v>9007.1500696165367</v>
      </c>
      <c r="F118" s="188">
        <f t="shared" si="21"/>
        <v>25364.821687323572</v>
      </c>
      <c r="G118" s="188">
        <f t="shared" si="22"/>
        <v>3916834.0381800719</v>
      </c>
      <c r="H118" s="188">
        <f>G126*J$2/12</f>
        <v>0</v>
      </c>
      <c r="I118" s="188">
        <f t="shared" si="34"/>
        <v>0</v>
      </c>
      <c r="J118" s="188">
        <f t="shared" si="35"/>
        <v>0</v>
      </c>
      <c r="K118" s="188">
        <f t="shared" si="24"/>
        <v>0</v>
      </c>
      <c r="L118" s="188">
        <f t="shared" si="25"/>
        <v>25364.821687323572</v>
      </c>
    </row>
    <row r="119" spans="1:12">
      <c r="A119" s="114">
        <v>10</v>
      </c>
      <c r="B119" s="182">
        <f t="shared" si="26"/>
        <v>113</v>
      </c>
      <c r="C119" s="188">
        <f t="shared" si="23"/>
        <v>3916834.0381800719</v>
      </c>
      <c r="D119" s="188">
        <f t="shared" si="20"/>
        <v>16320.141825750301</v>
      </c>
      <c r="E119" s="188">
        <f t="shared" si="27"/>
        <v>9044.6798615732714</v>
      </c>
      <c r="F119" s="188">
        <f t="shared" si="21"/>
        <v>25364.821687323572</v>
      </c>
      <c r="G119" s="188">
        <f t="shared" si="22"/>
        <v>3907789.3583184984</v>
      </c>
      <c r="H119" s="188">
        <f>G126*J$2/12</f>
        <v>0</v>
      </c>
      <c r="I119" s="188">
        <f t="shared" si="34"/>
        <v>0</v>
      </c>
      <c r="J119" s="188">
        <f t="shared" si="35"/>
        <v>0</v>
      </c>
      <c r="K119" s="188">
        <f t="shared" si="24"/>
        <v>0</v>
      </c>
      <c r="L119" s="188">
        <f t="shared" si="25"/>
        <v>25364.821687323572</v>
      </c>
    </row>
    <row r="120" spans="1:12">
      <c r="A120" s="114">
        <v>10</v>
      </c>
      <c r="B120" s="182">
        <f t="shared" si="26"/>
        <v>114</v>
      </c>
      <c r="C120" s="188">
        <f t="shared" si="23"/>
        <v>3907789.3583184984</v>
      </c>
      <c r="D120" s="188">
        <f t="shared" si="20"/>
        <v>16282.455659660411</v>
      </c>
      <c r="E120" s="188">
        <f t="shared" si="27"/>
        <v>9082.3660276631617</v>
      </c>
      <c r="F120" s="188">
        <f t="shared" si="21"/>
        <v>25364.821687323572</v>
      </c>
      <c r="G120" s="188">
        <f t="shared" si="22"/>
        <v>3898706.9922908354</v>
      </c>
      <c r="H120" s="188">
        <f>G126*J$2/12</f>
        <v>0</v>
      </c>
      <c r="I120" s="188">
        <f t="shared" si="34"/>
        <v>0</v>
      </c>
      <c r="J120" s="188">
        <f t="shared" si="35"/>
        <v>0</v>
      </c>
      <c r="K120" s="188">
        <f t="shared" si="24"/>
        <v>0</v>
      </c>
      <c r="L120" s="188">
        <f t="shared" si="25"/>
        <v>25364.821687323572</v>
      </c>
    </row>
    <row r="121" spans="1:12">
      <c r="A121" s="114">
        <v>10</v>
      </c>
      <c r="B121" s="182">
        <f t="shared" si="26"/>
        <v>115</v>
      </c>
      <c r="C121" s="188">
        <f t="shared" si="23"/>
        <v>3898706.9922908354</v>
      </c>
      <c r="D121" s="188">
        <f t="shared" si="20"/>
        <v>16244.612467878482</v>
      </c>
      <c r="E121" s="188">
        <f t="shared" si="27"/>
        <v>9120.2092194450906</v>
      </c>
      <c r="F121" s="188">
        <f t="shared" si="21"/>
        <v>25364.821687323572</v>
      </c>
      <c r="G121" s="188">
        <f t="shared" si="22"/>
        <v>3889586.7830713904</v>
      </c>
      <c r="H121" s="188">
        <f>G126*J$2/12</f>
        <v>0</v>
      </c>
      <c r="I121" s="188">
        <f t="shared" si="34"/>
        <v>0</v>
      </c>
      <c r="J121" s="188">
        <f t="shared" si="35"/>
        <v>0</v>
      </c>
      <c r="K121" s="188">
        <f t="shared" si="24"/>
        <v>0</v>
      </c>
      <c r="L121" s="188">
        <f t="shared" si="25"/>
        <v>25364.821687323572</v>
      </c>
    </row>
    <row r="122" spans="1:12">
      <c r="A122" s="114">
        <v>10</v>
      </c>
      <c r="B122" s="182">
        <f t="shared" si="26"/>
        <v>116</v>
      </c>
      <c r="C122" s="188">
        <f t="shared" si="23"/>
        <v>3889586.7830713904</v>
      </c>
      <c r="D122" s="188">
        <f t="shared" si="20"/>
        <v>16206.611596130795</v>
      </c>
      <c r="E122" s="188">
        <f t="shared" si="27"/>
        <v>9158.2100911927773</v>
      </c>
      <c r="F122" s="188">
        <f t="shared" si="21"/>
        <v>25364.821687323572</v>
      </c>
      <c r="G122" s="188">
        <f t="shared" si="22"/>
        <v>3880428.5729801976</v>
      </c>
      <c r="H122" s="188">
        <f>G126*J$2/12</f>
        <v>0</v>
      </c>
      <c r="I122" s="188">
        <f t="shared" si="34"/>
        <v>0</v>
      </c>
      <c r="J122" s="188">
        <f t="shared" si="35"/>
        <v>0</v>
      </c>
      <c r="K122" s="188">
        <f t="shared" si="24"/>
        <v>0</v>
      </c>
      <c r="L122" s="188">
        <f t="shared" si="25"/>
        <v>25364.821687323572</v>
      </c>
    </row>
    <row r="123" spans="1:12">
      <c r="A123" s="114">
        <v>10</v>
      </c>
      <c r="B123" s="182">
        <f t="shared" si="26"/>
        <v>117</v>
      </c>
      <c r="C123" s="188">
        <f t="shared" si="23"/>
        <v>3880428.5729801976</v>
      </c>
      <c r="D123" s="188">
        <f t="shared" si="20"/>
        <v>16168.452387417492</v>
      </c>
      <c r="E123" s="188">
        <f t="shared" si="27"/>
        <v>9196.3692999060804</v>
      </c>
      <c r="F123" s="188">
        <f t="shared" si="21"/>
        <v>25364.821687323572</v>
      </c>
      <c r="G123" s="188">
        <f t="shared" si="22"/>
        <v>3871232.2036802913</v>
      </c>
      <c r="H123" s="188">
        <f>G126*J$2/12</f>
        <v>0</v>
      </c>
      <c r="I123" s="188">
        <f t="shared" si="34"/>
        <v>0</v>
      </c>
      <c r="J123" s="188">
        <f t="shared" si="35"/>
        <v>0</v>
      </c>
      <c r="K123" s="188">
        <f t="shared" si="24"/>
        <v>0</v>
      </c>
      <c r="L123" s="188">
        <f t="shared" si="25"/>
        <v>25364.821687323572</v>
      </c>
    </row>
    <row r="124" spans="1:12">
      <c r="A124" s="114">
        <v>10</v>
      </c>
      <c r="B124" s="182">
        <f t="shared" si="26"/>
        <v>118</v>
      </c>
      <c r="C124" s="188">
        <f t="shared" si="23"/>
        <v>3871232.2036802913</v>
      </c>
      <c r="D124" s="188">
        <f t="shared" si="20"/>
        <v>16130.134182001215</v>
      </c>
      <c r="E124" s="188">
        <f t="shared" si="27"/>
        <v>9234.6875053223575</v>
      </c>
      <c r="F124" s="188">
        <f t="shared" si="21"/>
        <v>25364.821687323572</v>
      </c>
      <c r="G124" s="188">
        <f t="shared" si="22"/>
        <v>3861997.5161749688</v>
      </c>
      <c r="H124" s="188">
        <f>G126*J$2/12</f>
        <v>0</v>
      </c>
      <c r="I124" s="188">
        <f t="shared" si="34"/>
        <v>0</v>
      </c>
      <c r="J124" s="188">
        <f t="shared" si="35"/>
        <v>0</v>
      </c>
      <c r="K124" s="188">
        <f t="shared" si="24"/>
        <v>0</v>
      </c>
      <c r="L124" s="188">
        <f t="shared" si="25"/>
        <v>25364.821687323572</v>
      </c>
    </row>
    <row r="125" spans="1:12">
      <c r="A125" s="114">
        <v>10</v>
      </c>
      <c r="B125" s="182">
        <f t="shared" si="26"/>
        <v>119</v>
      </c>
      <c r="C125" s="188">
        <f t="shared" si="23"/>
        <v>3861997.5161749688</v>
      </c>
      <c r="D125" s="188">
        <f t="shared" si="20"/>
        <v>16091.656317395704</v>
      </c>
      <c r="E125" s="188">
        <f t="shared" si="27"/>
        <v>9273.1653699278686</v>
      </c>
      <c r="F125" s="188">
        <f t="shared" si="21"/>
        <v>25364.821687323572</v>
      </c>
      <c r="G125" s="188">
        <f t="shared" si="22"/>
        <v>3852724.3508050409</v>
      </c>
      <c r="H125" s="188">
        <f>G126*J$2/12</f>
        <v>0</v>
      </c>
      <c r="I125" s="188">
        <f t="shared" si="34"/>
        <v>0</v>
      </c>
      <c r="J125" s="188">
        <f t="shared" si="35"/>
        <v>0</v>
      </c>
      <c r="K125" s="188">
        <f t="shared" si="24"/>
        <v>0</v>
      </c>
      <c r="L125" s="188">
        <f t="shared" si="25"/>
        <v>25364.821687323572</v>
      </c>
    </row>
    <row r="126" spans="1:12">
      <c r="A126" s="238">
        <v>10</v>
      </c>
      <c r="B126" s="239">
        <f t="shared" si="26"/>
        <v>120</v>
      </c>
      <c r="C126" s="240">
        <f t="shared" si="23"/>
        <v>3852724.3508050409</v>
      </c>
      <c r="D126" s="240">
        <f t="shared" si="20"/>
        <v>16053.018128354337</v>
      </c>
      <c r="E126" s="240">
        <f t="shared" si="27"/>
        <v>9311.8035589692354</v>
      </c>
      <c r="F126" s="240">
        <f t="shared" si="21"/>
        <v>25364.821687323572</v>
      </c>
      <c r="G126" s="240">
        <f t="shared" si="22"/>
        <v>3843412.5472460715</v>
      </c>
      <c r="H126" s="240">
        <f>G126*J$2/12</f>
        <v>0</v>
      </c>
      <c r="I126" s="240">
        <f t="shared" si="34"/>
        <v>0</v>
      </c>
      <c r="J126" s="240">
        <f t="shared" si="35"/>
        <v>0</v>
      </c>
      <c r="K126" s="240">
        <f t="shared" si="24"/>
        <v>0</v>
      </c>
      <c r="L126" s="240">
        <f t="shared" si="25"/>
        <v>25364.821687323572</v>
      </c>
    </row>
    <row r="127" spans="1:12">
      <c r="A127" s="114">
        <v>11</v>
      </c>
      <c r="B127" s="182">
        <f t="shared" si="26"/>
        <v>121</v>
      </c>
      <c r="C127" s="188">
        <f t="shared" si="23"/>
        <v>3843412.5472460715</v>
      </c>
      <c r="D127" s="188">
        <f t="shared" si="20"/>
        <v>16014.218946858631</v>
      </c>
      <c r="E127" s="188">
        <f t="shared" si="27"/>
        <v>9350.6027404649412</v>
      </c>
      <c r="F127" s="188">
        <f t="shared" si="21"/>
        <v>25364.821687323572</v>
      </c>
      <c r="G127" s="188">
        <f t="shared" si="22"/>
        <v>3834061.9445056068</v>
      </c>
      <c r="H127" s="188">
        <f>G138*J$2/12</f>
        <v>0</v>
      </c>
      <c r="I127" s="188">
        <f t="shared" ref="I127:I138" si="36">(($C$127*$I$4)/12)</f>
        <v>0</v>
      </c>
      <c r="J127" s="188">
        <f t="shared" ref="J127:J138" si="37">(($C$127*$J$4)/12)</f>
        <v>0</v>
      </c>
      <c r="K127" s="188">
        <f t="shared" si="24"/>
        <v>0</v>
      </c>
      <c r="L127" s="188">
        <f t="shared" si="25"/>
        <v>25364.821687323572</v>
      </c>
    </row>
    <row r="128" spans="1:12">
      <c r="A128" s="114">
        <v>11</v>
      </c>
      <c r="B128" s="182">
        <f t="shared" si="26"/>
        <v>122</v>
      </c>
      <c r="C128" s="188">
        <f t="shared" si="23"/>
        <v>3834061.9445056068</v>
      </c>
      <c r="D128" s="188">
        <f t="shared" si="20"/>
        <v>15975.258102106696</v>
      </c>
      <c r="E128" s="188">
        <f t="shared" si="27"/>
        <v>9389.5635852168762</v>
      </c>
      <c r="F128" s="188">
        <f t="shared" si="21"/>
        <v>25364.821687323572</v>
      </c>
      <c r="G128" s="188">
        <f t="shared" si="22"/>
        <v>3824672.3809203901</v>
      </c>
      <c r="H128" s="188">
        <f>G138*J$2/12</f>
        <v>0</v>
      </c>
      <c r="I128" s="188">
        <f t="shared" si="36"/>
        <v>0</v>
      </c>
      <c r="J128" s="188">
        <f t="shared" si="37"/>
        <v>0</v>
      </c>
      <c r="K128" s="188">
        <f t="shared" si="24"/>
        <v>0</v>
      </c>
      <c r="L128" s="188">
        <f t="shared" si="25"/>
        <v>25364.821687323572</v>
      </c>
    </row>
    <row r="129" spans="1:12">
      <c r="A129" s="114">
        <v>11</v>
      </c>
      <c r="B129" s="182">
        <f t="shared" si="26"/>
        <v>123</v>
      </c>
      <c r="C129" s="188">
        <f t="shared" si="23"/>
        <v>3824672.3809203901</v>
      </c>
      <c r="D129" s="188">
        <f t="shared" si="20"/>
        <v>15936.134920501625</v>
      </c>
      <c r="E129" s="188">
        <f t="shared" si="27"/>
        <v>9428.6867668219475</v>
      </c>
      <c r="F129" s="188">
        <f t="shared" si="21"/>
        <v>25364.821687323572</v>
      </c>
      <c r="G129" s="188">
        <f t="shared" si="22"/>
        <v>3815243.6941535682</v>
      </c>
      <c r="H129" s="188">
        <f>G138*J$2/12</f>
        <v>0</v>
      </c>
      <c r="I129" s="188">
        <f t="shared" si="36"/>
        <v>0</v>
      </c>
      <c r="J129" s="188">
        <f t="shared" si="37"/>
        <v>0</v>
      </c>
      <c r="K129" s="188">
        <f t="shared" si="24"/>
        <v>0</v>
      </c>
      <c r="L129" s="188">
        <f t="shared" si="25"/>
        <v>25364.821687323572</v>
      </c>
    </row>
    <row r="130" spans="1:12">
      <c r="A130" s="114">
        <v>11</v>
      </c>
      <c r="B130" s="182">
        <f t="shared" si="26"/>
        <v>124</v>
      </c>
      <c r="C130" s="188">
        <f t="shared" si="23"/>
        <v>3815243.6941535682</v>
      </c>
      <c r="D130" s="188">
        <f t="shared" si="20"/>
        <v>15896.848725639868</v>
      </c>
      <c r="E130" s="188">
        <f t="shared" si="27"/>
        <v>9467.9729616837049</v>
      </c>
      <c r="F130" s="188">
        <f t="shared" si="21"/>
        <v>25364.821687323572</v>
      </c>
      <c r="G130" s="188">
        <f t="shared" si="22"/>
        <v>3805775.7211918845</v>
      </c>
      <c r="H130" s="188">
        <f>G138*J$2/12</f>
        <v>0</v>
      </c>
      <c r="I130" s="188">
        <f t="shared" si="36"/>
        <v>0</v>
      </c>
      <c r="J130" s="188">
        <f t="shared" si="37"/>
        <v>0</v>
      </c>
      <c r="K130" s="188">
        <f t="shared" si="24"/>
        <v>0</v>
      </c>
      <c r="L130" s="188">
        <f t="shared" si="25"/>
        <v>25364.821687323572</v>
      </c>
    </row>
    <row r="131" spans="1:12">
      <c r="A131" s="114">
        <v>11</v>
      </c>
      <c r="B131" s="182">
        <f t="shared" si="26"/>
        <v>125</v>
      </c>
      <c r="C131" s="188">
        <f t="shared" si="23"/>
        <v>3805775.7211918845</v>
      </c>
      <c r="D131" s="188">
        <f t="shared" si="20"/>
        <v>15857.398838299521</v>
      </c>
      <c r="E131" s="188">
        <f t="shared" si="27"/>
        <v>9507.4228490240512</v>
      </c>
      <c r="F131" s="188">
        <f t="shared" si="21"/>
        <v>25364.821687323572</v>
      </c>
      <c r="G131" s="188">
        <f t="shared" si="22"/>
        <v>3796268.2983428603</v>
      </c>
      <c r="H131" s="188">
        <f>G138*J$2/12</f>
        <v>0</v>
      </c>
      <c r="I131" s="188">
        <f t="shared" si="36"/>
        <v>0</v>
      </c>
      <c r="J131" s="188">
        <f t="shared" si="37"/>
        <v>0</v>
      </c>
      <c r="K131" s="188">
        <f t="shared" si="24"/>
        <v>0</v>
      </c>
      <c r="L131" s="188">
        <f t="shared" si="25"/>
        <v>25364.821687323572</v>
      </c>
    </row>
    <row r="132" spans="1:12">
      <c r="A132" s="114">
        <v>11</v>
      </c>
      <c r="B132" s="182">
        <f t="shared" si="26"/>
        <v>126</v>
      </c>
      <c r="C132" s="188">
        <f t="shared" si="23"/>
        <v>3796268.2983428603</v>
      </c>
      <c r="D132" s="188">
        <f t="shared" si="20"/>
        <v>15817.784576428587</v>
      </c>
      <c r="E132" s="188">
        <f t="shared" si="27"/>
        <v>9547.0371108949857</v>
      </c>
      <c r="F132" s="188">
        <f t="shared" si="21"/>
        <v>25364.821687323572</v>
      </c>
      <c r="G132" s="188">
        <f t="shared" si="22"/>
        <v>3786721.2612319654</v>
      </c>
      <c r="H132" s="188">
        <f>G138*J$2/12</f>
        <v>0</v>
      </c>
      <c r="I132" s="188">
        <f t="shared" si="36"/>
        <v>0</v>
      </c>
      <c r="J132" s="188">
        <f t="shared" si="37"/>
        <v>0</v>
      </c>
      <c r="K132" s="188">
        <f t="shared" si="24"/>
        <v>0</v>
      </c>
      <c r="L132" s="188">
        <f t="shared" si="25"/>
        <v>25364.821687323572</v>
      </c>
    </row>
    <row r="133" spans="1:12">
      <c r="A133" s="114">
        <v>11</v>
      </c>
      <c r="B133" s="182">
        <f t="shared" si="26"/>
        <v>127</v>
      </c>
      <c r="C133" s="188">
        <f t="shared" si="23"/>
        <v>3786721.2612319654</v>
      </c>
      <c r="D133" s="188">
        <f t="shared" si="20"/>
        <v>15778.00525513319</v>
      </c>
      <c r="E133" s="188">
        <f t="shared" si="27"/>
        <v>9586.8164321903823</v>
      </c>
      <c r="F133" s="188">
        <f t="shared" si="21"/>
        <v>25364.821687323572</v>
      </c>
      <c r="G133" s="188">
        <f t="shared" si="22"/>
        <v>3777134.4447997748</v>
      </c>
      <c r="H133" s="188">
        <f>G138*J$2/12</f>
        <v>0</v>
      </c>
      <c r="I133" s="188">
        <f t="shared" si="36"/>
        <v>0</v>
      </c>
      <c r="J133" s="188">
        <f t="shared" si="37"/>
        <v>0</v>
      </c>
      <c r="K133" s="188">
        <f t="shared" si="24"/>
        <v>0</v>
      </c>
      <c r="L133" s="188">
        <f t="shared" si="25"/>
        <v>25364.821687323572</v>
      </c>
    </row>
    <row r="134" spans="1:12">
      <c r="A134" s="114">
        <v>11</v>
      </c>
      <c r="B134" s="182">
        <f t="shared" si="26"/>
        <v>128</v>
      </c>
      <c r="C134" s="188">
        <f t="shared" si="23"/>
        <v>3777134.4447997748</v>
      </c>
      <c r="D134" s="188">
        <f t="shared" si="20"/>
        <v>15738.060186665729</v>
      </c>
      <c r="E134" s="188">
        <f t="shared" si="27"/>
        <v>9626.7615006578435</v>
      </c>
      <c r="F134" s="188">
        <f t="shared" si="21"/>
        <v>25364.821687323572</v>
      </c>
      <c r="G134" s="188">
        <f t="shared" si="22"/>
        <v>3767507.6832991168</v>
      </c>
      <c r="H134" s="188">
        <f>G138*J$2/12</f>
        <v>0</v>
      </c>
      <c r="I134" s="188">
        <f t="shared" si="36"/>
        <v>0</v>
      </c>
      <c r="J134" s="188">
        <f t="shared" si="37"/>
        <v>0</v>
      </c>
      <c r="K134" s="188">
        <f t="shared" si="24"/>
        <v>0</v>
      </c>
      <c r="L134" s="188">
        <f t="shared" si="25"/>
        <v>25364.821687323572</v>
      </c>
    </row>
    <row r="135" spans="1:12">
      <c r="A135" s="114">
        <v>11</v>
      </c>
      <c r="B135" s="182">
        <f t="shared" si="26"/>
        <v>129</v>
      </c>
      <c r="C135" s="188">
        <f t="shared" si="23"/>
        <v>3767507.6832991168</v>
      </c>
      <c r="D135" s="188">
        <f t="shared" ref="D135:D198" si="38">(C135*$J$1)/12</f>
        <v>15697.948680412987</v>
      </c>
      <c r="E135" s="188">
        <f t="shared" si="27"/>
        <v>9666.8730069105859</v>
      </c>
      <c r="F135" s="188">
        <f t="shared" ref="F135:F198" si="39">PMT($J$1/12,$E$3*12,-$C$7,0)</f>
        <v>25364.821687323572</v>
      </c>
      <c r="G135" s="188">
        <f t="shared" ref="G135:G198" si="40">C135-E135</f>
        <v>3757840.8102922062</v>
      </c>
      <c r="H135" s="188">
        <f>G138*J$2/12</f>
        <v>0</v>
      </c>
      <c r="I135" s="188">
        <f t="shared" si="36"/>
        <v>0</v>
      </c>
      <c r="J135" s="188">
        <f t="shared" si="37"/>
        <v>0</v>
      </c>
      <c r="K135" s="188">
        <f t="shared" si="24"/>
        <v>0</v>
      </c>
      <c r="L135" s="188">
        <f t="shared" si="25"/>
        <v>25364.821687323572</v>
      </c>
    </row>
    <row r="136" spans="1:12">
      <c r="A136" s="114">
        <v>11</v>
      </c>
      <c r="B136" s="182">
        <f t="shared" si="26"/>
        <v>130</v>
      </c>
      <c r="C136" s="188">
        <f t="shared" ref="C136:C199" si="41">G135</f>
        <v>3757840.8102922062</v>
      </c>
      <c r="D136" s="188">
        <f t="shared" si="38"/>
        <v>15657.670042884194</v>
      </c>
      <c r="E136" s="188">
        <f t="shared" si="27"/>
        <v>9707.1516444393783</v>
      </c>
      <c r="F136" s="188">
        <f t="shared" si="39"/>
        <v>25364.821687323572</v>
      </c>
      <c r="G136" s="188">
        <f t="shared" si="40"/>
        <v>3748133.6586477668</v>
      </c>
      <c r="H136" s="188">
        <f>G138*J$2/12</f>
        <v>0</v>
      </c>
      <c r="I136" s="188">
        <f t="shared" si="36"/>
        <v>0</v>
      </c>
      <c r="J136" s="188">
        <f t="shared" si="37"/>
        <v>0</v>
      </c>
      <c r="K136" s="188">
        <f t="shared" ref="K136:K199" si="42">SUM(I136:J136)</f>
        <v>0</v>
      </c>
      <c r="L136" s="188">
        <f t="shared" ref="L136:L199" si="43">F136+H136+K136</f>
        <v>25364.821687323572</v>
      </c>
    </row>
    <row r="137" spans="1:12">
      <c r="A137" s="114">
        <v>11</v>
      </c>
      <c r="B137" s="182">
        <f t="shared" ref="B137:B200" si="44">B136+1</f>
        <v>131</v>
      </c>
      <c r="C137" s="188">
        <f t="shared" si="41"/>
        <v>3748133.6586477668</v>
      </c>
      <c r="D137" s="188">
        <f t="shared" si="38"/>
        <v>15617.223577699029</v>
      </c>
      <c r="E137" s="188">
        <f t="shared" ref="E137:E200" si="45">(F137-D137)</f>
        <v>9747.5981096245432</v>
      </c>
      <c r="F137" s="188">
        <f t="shared" si="39"/>
        <v>25364.821687323572</v>
      </c>
      <c r="G137" s="188">
        <f t="shared" si="40"/>
        <v>3738386.0605381425</v>
      </c>
      <c r="H137" s="188">
        <f>G138*J$2/12</f>
        <v>0</v>
      </c>
      <c r="I137" s="188">
        <f t="shared" si="36"/>
        <v>0</v>
      </c>
      <c r="J137" s="188">
        <f t="shared" si="37"/>
        <v>0</v>
      </c>
      <c r="K137" s="188">
        <f t="shared" si="42"/>
        <v>0</v>
      </c>
      <c r="L137" s="188">
        <f t="shared" si="43"/>
        <v>25364.821687323572</v>
      </c>
    </row>
    <row r="138" spans="1:12">
      <c r="A138" s="238">
        <v>11</v>
      </c>
      <c r="B138" s="239">
        <f t="shared" si="44"/>
        <v>132</v>
      </c>
      <c r="C138" s="240">
        <f t="shared" si="41"/>
        <v>3738386.0605381425</v>
      </c>
      <c r="D138" s="240">
        <f t="shared" si="38"/>
        <v>15576.608585575595</v>
      </c>
      <c r="E138" s="240">
        <f t="shared" si="45"/>
        <v>9788.2131017479769</v>
      </c>
      <c r="F138" s="240">
        <f t="shared" si="39"/>
        <v>25364.821687323572</v>
      </c>
      <c r="G138" s="240">
        <f t="shared" si="40"/>
        <v>3728597.8474363945</v>
      </c>
      <c r="H138" s="240">
        <f>G138*J$2/12</f>
        <v>0</v>
      </c>
      <c r="I138" s="240">
        <f t="shared" si="36"/>
        <v>0</v>
      </c>
      <c r="J138" s="240">
        <f t="shared" si="37"/>
        <v>0</v>
      </c>
      <c r="K138" s="240">
        <f t="shared" si="42"/>
        <v>0</v>
      </c>
      <c r="L138" s="240">
        <f t="shared" si="43"/>
        <v>25364.821687323572</v>
      </c>
    </row>
    <row r="139" spans="1:12">
      <c r="A139" s="114">
        <v>12</v>
      </c>
      <c r="B139" s="182">
        <f t="shared" si="44"/>
        <v>133</v>
      </c>
      <c r="C139" s="188">
        <f t="shared" si="41"/>
        <v>3728597.8474363945</v>
      </c>
      <c r="D139" s="188">
        <f t="shared" si="38"/>
        <v>15535.82436431831</v>
      </c>
      <c r="E139" s="188">
        <f t="shared" si="45"/>
        <v>9828.9973230052619</v>
      </c>
      <c r="F139" s="188">
        <f t="shared" si="39"/>
        <v>25364.821687323572</v>
      </c>
      <c r="G139" s="188">
        <f t="shared" si="40"/>
        <v>3718768.8501133891</v>
      </c>
      <c r="H139" s="188">
        <f>G150*J$2/12</f>
        <v>0</v>
      </c>
      <c r="I139" s="188">
        <f t="shared" ref="I139:I150" si="46">(($C$139*$I$4)/12)</f>
        <v>0</v>
      </c>
      <c r="J139" s="188">
        <f t="shared" ref="J139:J150" si="47">(($C$139*$J$4)/12)</f>
        <v>0</v>
      </c>
      <c r="K139" s="188">
        <f t="shared" si="42"/>
        <v>0</v>
      </c>
      <c r="L139" s="188">
        <f t="shared" si="43"/>
        <v>25364.821687323572</v>
      </c>
    </row>
    <row r="140" spans="1:12">
      <c r="A140" s="114">
        <v>12</v>
      </c>
      <c r="B140" s="182">
        <f t="shared" si="44"/>
        <v>134</v>
      </c>
      <c r="C140" s="188">
        <f t="shared" si="41"/>
        <v>3718768.8501133891</v>
      </c>
      <c r="D140" s="188">
        <f t="shared" si="38"/>
        <v>15494.870208805789</v>
      </c>
      <c r="E140" s="188">
        <f t="shared" si="45"/>
        <v>9869.9514785177835</v>
      </c>
      <c r="F140" s="188">
        <f t="shared" si="39"/>
        <v>25364.821687323572</v>
      </c>
      <c r="G140" s="188">
        <f t="shared" si="40"/>
        <v>3708898.8986348715</v>
      </c>
      <c r="H140" s="188">
        <f>G150*J$2/12</f>
        <v>0</v>
      </c>
      <c r="I140" s="188">
        <f t="shared" si="46"/>
        <v>0</v>
      </c>
      <c r="J140" s="188">
        <f t="shared" si="47"/>
        <v>0</v>
      </c>
      <c r="K140" s="188">
        <f t="shared" si="42"/>
        <v>0</v>
      </c>
      <c r="L140" s="188">
        <f t="shared" si="43"/>
        <v>25364.821687323572</v>
      </c>
    </row>
    <row r="141" spans="1:12">
      <c r="A141" s="114">
        <v>12</v>
      </c>
      <c r="B141" s="182">
        <f t="shared" si="44"/>
        <v>135</v>
      </c>
      <c r="C141" s="188">
        <f t="shared" si="41"/>
        <v>3708898.8986348715</v>
      </c>
      <c r="D141" s="188">
        <f t="shared" si="38"/>
        <v>15453.745410978632</v>
      </c>
      <c r="E141" s="188">
        <f t="shared" si="45"/>
        <v>9911.0762763449402</v>
      </c>
      <c r="F141" s="188">
        <f t="shared" si="39"/>
        <v>25364.821687323572</v>
      </c>
      <c r="G141" s="188">
        <f t="shared" si="40"/>
        <v>3698987.8223585268</v>
      </c>
      <c r="H141" s="188">
        <f>G150*J$2/12</f>
        <v>0</v>
      </c>
      <c r="I141" s="188">
        <f t="shared" si="46"/>
        <v>0</v>
      </c>
      <c r="J141" s="188">
        <f t="shared" si="47"/>
        <v>0</v>
      </c>
      <c r="K141" s="188">
        <f t="shared" si="42"/>
        <v>0</v>
      </c>
      <c r="L141" s="188">
        <f t="shared" si="43"/>
        <v>25364.821687323572</v>
      </c>
    </row>
    <row r="142" spans="1:12">
      <c r="A142" s="114">
        <v>12</v>
      </c>
      <c r="B142" s="182">
        <f t="shared" si="44"/>
        <v>136</v>
      </c>
      <c r="C142" s="188">
        <f t="shared" si="41"/>
        <v>3698987.8223585268</v>
      </c>
      <c r="D142" s="188">
        <f t="shared" si="38"/>
        <v>15412.449259827195</v>
      </c>
      <c r="E142" s="188">
        <f t="shared" si="45"/>
        <v>9952.372427496377</v>
      </c>
      <c r="F142" s="188">
        <f t="shared" si="39"/>
        <v>25364.821687323572</v>
      </c>
      <c r="G142" s="188">
        <f t="shared" si="40"/>
        <v>3689035.4499310302</v>
      </c>
      <c r="H142" s="188">
        <f>G150*J$2/12</f>
        <v>0</v>
      </c>
      <c r="I142" s="188">
        <f t="shared" si="46"/>
        <v>0</v>
      </c>
      <c r="J142" s="188">
        <f t="shared" si="47"/>
        <v>0</v>
      </c>
      <c r="K142" s="188">
        <f t="shared" si="42"/>
        <v>0</v>
      </c>
      <c r="L142" s="188">
        <f t="shared" si="43"/>
        <v>25364.821687323572</v>
      </c>
    </row>
    <row r="143" spans="1:12">
      <c r="A143" s="114">
        <v>12</v>
      </c>
      <c r="B143" s="182">
        <f t="shared" si="44"/>
        <v>137</v>
      </c>
      <c r="C143" s="188">
        <f t="shared" si="41"/>
        <v>3689035.4499310302</v>
      </c>
      <c r="D143" s="188">
        <f t="shared" si="38"/>
        <v>15370.981041379293</v>
      </c>
      <c r="E143" s="188">
        <f t="shared" si="45"/>
        <v>9993.8406459442795</v>
      </c>
      <c r="F143" s="188">
        <f t="shared" si="39"/>
        <v>25364.821687323572</v>
      </c>
      <c r="G143" s="188">
        <f t="shared" si="40"/>
        <v>3679041.6092850859</v>
      </c>
      <c r="H143" s="188">
        <f>G150*J$2/12</f>
        <v>0</v>
      </c>
      <c r="I143" s="188">
        <f t="shared" si="46"/>
        <v>0</v>
      </c>
      <c r="J143" s="188">
        <f t="shared" si="47"/>
        <v>0</v>
      </c>
      <c r="K143" s="188">
        <f t="shared" si="42"/>
        <v>0</v>
      </c>
      <c r="L143" s="188">
        <f t="shared" si="43"/>
        <v>25364.821687323572</v>
      </c>
    </row>
    <row r="144" spans="1:12">
      <c r="A144" s="114">
        <v>12</v>
      </c>
      <c r="B144" s="182">
        <f t="shared" si="44"/>
        <v>138</v>
      </c>
      <c r="C144" s="188">
        <f t="shared" si="41"/>
        <v>3679041.6092850859</v>
      </c>
      <c r="D144" s="188">
        <f t="shared" si="38"/>
        <v>15329.340038687858</v>
      </c>
      <c r="E144" s="188">
        <f t="shared" si="45"/>
        <v>10035.481648635714</v>
      </c>
      <c r="F144" s="188">
        <f t="shared" si="39"/>
        <v>25364.821687323572</v>
      </c>
      <c r="G144" s="188">
        <f t="shared" si="40"/>
        <v>3669006.1276364503</v>
      </c>
      <c r="H144" s="188">
        <f>G150*J$2/12</f>
        <v>0</v>
      </c>
      <c r="I144" s="188">
        <f t="shared" si="46"/>
        <v>0</v>
      </c>
      <c r="J144" s="188">
        <f t="shared" si="47"/>
        <v>0</v>
      </c>
      <c r="K144" s="188">
        <f t="shared" si="42"/>
        <v>0</v>
      </c>
      <c r="L144" s="188">
        <f t="shared" si="43"/>
        <v>25364.821687323572</v>
      </c>
    </row>
    <row r="145" spans="1:12">
      <c r="A145" s="114">
        <v>12</v>
      </c>
      <c r="B145" s="182">
        <f t="shared" si="44"/>
        <v>139</v>
      </c>
      <c r="C145" s="188">
        <f t="shared" si="41"/>
        <v>3669006.1276364503</v>
      </c>
      <c r="D145" s="188">
        <f t="shared" si="38"/>
        <v>15287.525531818545</v>
      </c>
      <c r="E145" s="188">
        <f t="shared" si="45"/>
        <v>10077.296155505028</v>
      </c>
      <c r="F145" s="188">
        <f t="shared" si="39"/>
        <v>25364.821687323572</v>
      </c>
      <c r="G145" s="188">
        <f t="shared" si="40"/>
        <v>3658928.8314809455</v>
      </c>
      <c r="H145" s="188">
        <f>G150*J$2/12</f>
        <v>0</v>
      </c>
      <c r="I145" s="188">
        <f t="shared" si="46"/>
        <v>0</v>
      </c>
      <c r="J145" s="188">
        <f t="shared" si="47"/>
        <v>0</v>
      </c>
      <c r="K145" s="188">
        <f t="shared" si="42"/>
        <v>0</v>
      </c>
      <c r="L145" s="188">
        <f t="shared" si="43"/>
        <v>25364.821687323572</v>
      </c>
    </row>
    <row r="146" spans="1:12">
      <c r="A146" s="114">
        <v>12</v>
      </c>
      <c r="B146" s="182">
        <f t="shared" si="44"/>
        <v>140</v>
      </c>
      <c r="C146" s="188">
        <f t="shared" si="41"/>
        <v>3658928.8314809455</v>
      </c>
      <c r="D146" s="188">
        <f t="shared" si="38"/>
        <v>15245.536797837274</v>
      </c>
      <c r="E146" s="188">
        <f t="shared" si="45"/>
        <v>10119.284889486298</v>
      </c>
      <c r="F146" s="188">
        <f t="shared" si="39"/>
        <v>25364.821687323572</v>
      </c>
      <c r="G146" s="188">
        <f t="shared" si="40"/>
        <v>3648809.5465914593</v>
      </c>
      <c r="H146" s="188">
        <f>G150*J$2/12</f>
        <v>0</v>
      </c>
      <c r="I146" s="188">
        <f t="shared" si="46"/>
        <v>0</v>
      </c>
      <c r="J146" s="188">
        <f t="shared" si="47"/>
        <v>0</v>
      </c>
      <c r="K146" s="188">
        <f t="shared" si="42"/>
        <v>0</v>
      </c>
      <c r="L146" s="188">
        <f t="shared" si="43"/>
        <v>25364.821687323572</v>
      </c>
    </row>
    <row r="147" spans="1:12">
      <c r="A147" s="114">
        <v>12</v>
      </c>
      <c r="B147" s="182">
        <f t="shared" si="44"/>
        <v>141</v>
      </c>
      <c r="C147" s="188">
        <f t="shared" si="41"/>
        <v>3648809.5465914593</v>
      </c>
      <c r="D147" s="188">
        <f t="shared" si="38"/>
        <v>15203.373110797749</v>
      </c>
      <c r="E147" s="188">
        <f t="shared" si="45"/>
        <v>10161.448576525823</v>
      </c>
      <c r="F147" s="188">
        <f t="shared" si="39"/>
        <v>25364.821687323572</v>
      </c>
      <c r="G147" s="188">
        <f t="shared" si="40"/>
        <v>3638648.0980149335</v>
      </c>
      <c r="H147" s="188">
        <f>G150*J$2/12</f>
        <v>0</v>
      </c>
      <c r="I147" s="188">
        <f t="shared" si="46"/>
        <v>0</v>
      </c>
      <c r="J147" s="188">
        <f t="shared" si="47"/>
        <v>0</v>
      </c>
      <c r="K147" s="188">
        <f t="shared" si="42"/>
        <v>0</v>
      </c>
      <c r="L147" s="188">
        <f t="shared" si="43"/>
        <v>25364.821687323572</v>
      </c>
    </row>
    <row r="148" spans="1:12">
      <c r="A148" s="114">
        <v>12</v>
      </c>
      <c r="B148" s="182">
        <f t="shared" si="44"/>
        <v>142</v>
      </c>
      <c r="C148" s="188">
        <f t="shared" si="41"/>
        <v>3638648.0980149335</v>
      </c>
      <c r="D148" s="188">
        <f t="shared" si="38"/>
        <v>15161.03374172889</v>
      </c>
      <c r="E148" s="188">
        <f t="shared" si="45"/>
        <v>10203.787945594682</v>
      </c>
      <c r="F148" s="188">
        <f t="shared" si="39"/>
        <v>25364.821687323572</v>
      </c>
      <c r="G148" s="188">
        <f t="shared" si="40"/>
        <v>3628444.3100693389</v>
      </c>
      <c r="H148" s="188">
        <f>G150*J$2/12</f>
        <v>0</v>
      </c>
      <c r="I148" s="188">
        <f t="shared" si="46"/>
        <v>0</v>
      </c>
      <c r="J148" s="188">
        <f t="shared" si="47"/>
        <v>0</v>
      </c>
      <c r="K148" s="188">
        <f t="shared" si="42"/>
        <v>0</v>
      </c>
      <c r="L148" s="188">
        <f t="shared" si="43"/>
        <v>25364.821687323572</v>
      </c>
    </row>
    <row r="149" spans="1:12">
      <c r="A149" s="114">
        <v>12</v>
      </c>
      <c r="B149" s="182">
        <f t="shared" si="44"/>
        <v>143</v>
      </c>
      <c r="C149" s="188">
        <f t="shared" si="41"/>
        <v>3628444.3100693389</v>
      </c>
      <c r="D149" s="188">
        <f t="shared" si="38"/>
        <v>15118.517958622246</v>
      </c>
      <c r="E149" s="188">
        <f t="shared" si="45"/>
        <v>10246.303728701327</v>
      </c>
      <c r="F149" s="188">
        <f t="shared" si="39"/>
        <v>25364.821687323572</v>
      </c>
      <c r="G149" s="188">
        <f t="shared" si="40"/>
        <v>3618198.0063406373</v>
      </c>
      <c r="H149" s="188">
        <f>G150*J$2/12</f>
        <v>0</v>
      </c>
      <c r="I149" s="188">
        <f t="shared" si="46"/>
        <v>0</v>
      </c>
      <c r="J149" s="188">
        <f t="shared" si="47"/>
        <v>0</v>
      </c>
      <c r="K149" s="188">
        <f t="shared" si="42"/>
        <v>0</v>
      </c>
      <c r="L149" s="188">
        <f t="shared" si="43"/>
        <v>25364.821687323572</v>
      </c>
    </row>
    <row r="150" spans="1:12">
      <c r="A150" s="238">
        <v>12</v>
      </c>
      <c r="B150" s="239">
        <f t="shared" si="44"/>
        <v>144</v>
      </c>
      <c r="C150" s="240">
        <f t="shared" si="41"/>
        <v>3618198.0063406373</v>
      </c>
      <c r="D150" s="240">
        <f t="shared" si="38"/>
        <v>15075.825026419325</v>
      </c>
      <c r="E150" s="240">
        <f t="shared" si="45"/>
        <v>10288.996660904248</v>
      </c>
      <c r="F150" s="240">
        <f t="shared" si="39"/>
        <v>25364.821687323572</v>
      </c>
      <c r="G150" s="240">
        <f t="shared" si="40"/>
        <v>3607909.0096797333</v>
      </c>
      <c r="H150" s="240">
        <f>G150*J$2/12</f>
        <v>0</v>
      </c>
      <c r="I150" s="240">
        <f t="shared" si="46"/>
        <v>0</v>
      </c>
      <c r="J150" s="240">
        <f t="shared" si="47"/>
        <v>0</v>
      </c>
      <c r="K150" s="240">
        <f t="shared" si="42"/>
        <v>0</v>
      </c>
      <c r="L150" s="240">
        <f t="shared" si="43"/>
        <v>25364.821687323572</v>
      </c>
    </row>
    <row r="151" spans="1:12">
      <c r="A151" s="114">
        <v>13</v>
      </c>
      <c r="B151" s="182">
        <f t="shared" si="44"/>
        <v>145</v>
      </c>
      <c r="C151" s="188">
        <f t="shared" si="41"/>
        <v>3607909.0096797333</v>
      </c>
      <c r="D151" s="188">
        <f t="shared" si="38"/>
        <v>15032.954206998889</v>
      </c>
      <c r="E151" s="188">
        <f t="shared" si="45"/>
        <v>10331.867480324683</v>
      </c>
      <c r="F151" s="188">
        <f t="shared" si="39"/>
        <v>25364.821687323572</v>
      </c>
      <c r="G151" s="188">
        <f t="shared" si="40"/>
        <v>3597577.1421994087</v>
      </c>
      <c r="H151" s="188">
        <f>G162*J$2/12</f>
        <v>0</v>
      </c>
      <c r="I151" s="188">
        <f t="shared" ref="I151:I162" si="48">(($C$151*$I$4)/12)</f>
        <v>0</v>
      </c>
      <c r="J151" s="188">
        <f t="shared" ref="J151:J162" si="49">(($C$151*$J$4)/12)</f>
        <v>0</v>
      </c>
      <c r="K151" s="188">
        <f t="shared" si="42"/>
        <v>0</v>
      </c>
      <c r="L151" s="188">
        <f t="shared" si="43"/>
        <v>25364.821687323572</v>
      </c>
    </row>
    <row r="152" spans="1:12">
      <c r="A152" s="114">
        <v>13</v>
      </c>
      <c r="B152" s="182">
        <f t="shared" si="44"/>
        <v>146</v>
      </c>
      <c r="C152" s="188">
        <f t="shared" si="41"/>
        <v>3597577.1421994087</v>
      </c>
      <c r="D152" s="188">
        <f t="shared" si="38"/>
        <v>14989.904759164203</v>
      </c>
      <c r="E152" s="188">
        <f t="shared" si="45"/>
        <v>10374.916928159369</v>
      </c>
      <c r="F152" s="188">
        <f t="shared" si="39"/>
        <v>25364.821687323572</v>
      </c>
      <c r="G152" s="188">
        <f t="shared" si="40"/>
        <v>3587202.2252712492</v>
      </c>
      <c r="H152" s="188">
        <f>G162*J$2/12</f>
        <v>0</v>
      </c>
      <c r="I152" s="188">
        <f t="shared" si="48"/>
        <v>0</v>
      </c>
      <c r="J152" s="188">
        <f t="shared" si="49"/>
        <v>0</v>
      </c>
      <c r="K152" s="188">
        <f t="shared" si="42"/>
        <v>0</v>
      </c>
      <c r="L152" s="188">
        <f t="shared" si="43"/>
        <v>25364.821687323572</v>
      </c>
    </row>
    <row r="153" spans="1:12">
      <c r="A153" s="114">
        <v>13</v>
      </c>
      <c r="B153" s="182">
        <f t="shared" si="44"/>
        <v>147</v>
      </c>
      <c r="C153" s="188">
        <f t="shared" si="41"/>
        <v>3587202.2252712492</v>
      </c>
      <c r="D153" s="188">
        <f t="shared" si="38"/>
        <v>14946.675938630206</v>
      </c>
      <c r="E153" s="188">
        <f t="shared" si="45"/>
        <v>10418.145748693367</v>
      </c>
      <c r="F153" s="188">
        <f t="shared" si="39"/>
        <v>25364.821687323572</v>
      </c>
      <c r="G153" s="188">
        <f t="shared" si="40"/>
        <v>3576784.0795225557</v>
      </c>
      <c r="H153" s="188">
        <f>G162*J$2/12</f>
        <v>0</v>
      </c>
      <c r="I153" s="188">
        <f t="shared" si="48"/>
        <v>0</v>
      </c>
      <c r="J153" s="188">
        <f t="shared" si="49"/>
        <v>0</v>
      </c>
      <c r="K153" s="188">
        <f t="shared" si="42"/>
        <v>0</v>
      </c>
      <c r="L153" s="188">
        <f t="shared" si="43"/>
        <v>25364.821687323572</v>
      </c>
    </row>
    <row r="154" spans="1:12">
      <c r="A154" s="114">
        <v>13</v>
      </c>
      <c r="B154" s="182">
        <f t="shared" si="44"/>
        <v>148</v>
      </c>
      <c r="C154" s="188">
        <f t="shared" si="41"/>
        <v>3576784.0795225557</v>
      </c>
      <c r="D154" s="188">
        <f t="shared" si="38"/>
        <v>14903.266998010649</v>
      </c>
      <c r="E154" s="188">
        <f t="shared" si="45"/>
        <v>10461.554689312923</v>
      </c>
      <c r="F154" s="188">
        <f t="shared" si="39"/>
        <v>25364.821687323572</v>
      </c>
      <c r="G154" s="188">
        <f t="shared" si="40"/>
        <v>3566322.5248332429</v>
      </c>
      <c r="H154" s="188">
        <f>G162*J$2/12</f>
        <v>0</v>
      </c>
      <c r="I154" s="188">
        <f t="shared" si="48"/>
        <v>0</v>
      </c>
      <c r="J154" s="188">
        <f t="shared" si="49"/>
        <v>0</v>
      </c>
      <c r="K154" s="188">
        <f t="shared" si="42"/>
        <v>0</v>
      </c>
      <c r="L154" s="188">
        <f t="shared" si="43"/>
        <v>25364.821687323572</v>
      </c>
    </row>
    <row r="155" spans="1:12">
      <c r="A155" s="114">
        <v>13</v>
      </c>
      <c r="B155" s="182">
        <f t="shared" si="44"/>
        <v>149</v>
      </c>
      <c r="C155" s="188">
        <f t="shared" si="41"/>
        <v>3566322.5248332429</v>
      </c>
      <c r="D155" s="188">
        <f t="shared" si="38"/>
        <v>14859.67718680518</v>
      </c>
      <c r="E155" s="188">
        <f t="shared" si="45"/>
        <v>10505.144500518392</v>
      </c>
      <c r="F155" s="188">
        <f t="shared" si="39"/>
        <v>25364.821687323572</v>
      </c>
      <c r="G155" s="188">
        <f t="shared" si="40"/>
        <v>3555817.3803327247</v>
      </c>
      <c r="H155" s="188">
        <f>G162*J$2/12</f>
        <v>0</v>
      </c>
      <c r="I155" s="188">
        <f t="shared" si="48"/>
        <v>0</v>
      </c>
      <c r="J155" s="188">
        <f t="shared" si="49"/>
        <v>0</v>
      </c>
      <c r="K155" s="188">
        <f t="shared" si="42"/>
        <v>0</v>
      </c>
      <c r="L155" s="188">
        <f t="shared" si="43"/>
        <v>25364.821687323572</v>
      </c>
    </row>
    <row r="156" spans="1:12">
      <c r="A156" s="114">
        <v>13</v>
      </c>
      <c r="B156" s="182">
        <f t="shared" si="44"/>
        <v>150</v>
      </c>
      <c r="C156" s="188">
        <f t="shared" si="41"/>
        <v>3555817.3803327247</v>
      </c>
      <c r="D156" s="188">
        <f t="shared" si="38"/>
        <v>14815.905751386354</v>
      </c>
      <c r="E156" s="188">
        <f t="shared" si="45"/>
        <v>10548.915935937219</v>
      </c>
      <c r="F156" s="188">
        <f t="shared" si="39"/>
        <v>25364.821687323572</v>
      </c>
      <c r="G156" s="188">
        <f t="shared" si="40"/>
        <v>3545268.4643967873</v>
      </c>
      <c r="H156" s="188">
        <f>G162*J$2/12</f>
        <v>0</v>
      </c>
      <c r="I156" s="188">
        <f t="shared" si="48"/>
        <v>0</v>
      </c>
      <c r="J156" s="188">
        <f t="shared" si="49"/>
        <v>0</v>
      </c>
      <c r="K156" s="188">
        <f t="shared" si="42"/>
        <v>0</v>
      </c>
      <c r="L156" s="188">
        <f t="shared" si="43"/>
        <v>25364.821687323572</v>
      </c>
    </row>
    <row r="157" spans="1:12">
      <c r="A157" s="114">
        <v>13</v>
      </c>
      <c r="B157" s="182">
        <f t="shared" si="44"/>
        <v>151</v>
      </c>
      <c r="C157" s="188">
        <f t="shared" si="41"/>
        <v>3545268.4643967873</v>
      </c>
      <c r="D157" s="188">
        <f t="shared" si="38"/>
        <v>14771.951934986615</v>
      </c>
      <c r="E157" s="188">
        <f t="shared" si="45"/>
        <v>10592.869752336957</v>
      </c>
      <c r="F157" s="188">
        <f t="shared" si="39"/>
        <v>25364.821687323572</v>
      </c>
      <c r="G157" s="188">
        <f t="shared" si="40"/>
        <v>3534675.5946444506</v>
      </c>
      <c r="H157" s="188">
        <f>G162*J$2/12</f>
        <v>0</v>
      </c>
      <c r="I157" s="188">
        <f t="shared" si="48"/>
        <v>0</v>
      </c>
      <c r="J157" s="188">
        <f t="shared" si="49"/>
        <v>0</v>
      </c>
      <c r="K157" s="188">
        <f t="shared" si="42"/>
        <v>0</v>
      </c>
      <c r="L157" s="188">
        <f t="shared" si="43"/>
        <v>25364.821687323572</v>
      </c>
    </row>
    <row r="158" spans="1:12">
      <c r="A158" s="114">
        <v>13</v>
      </c>
      <c r="B158" s="182">
        <f t="shared" si="44"/>
        <v>152</v>
      </c>
      <c r="C158" s="188">
        <f t="shared" si="41"/>
        <v>3534675.5946444506</v>
      </c>
      <c r="D158" s="188">
        <f t="shared" si="38"/>
        <v>14727.814977685213</v>
      </c>
      <c r="E158" s="188">
        <f t="shared" si="45"/>
        <v>10637.006709638359</v>
      </c>
      <c r="F158" s="188">
        <f t="shared" si="39"/>
        <v>25364.821687323572</v>
      </c>
      <c r="G158" s="188">
        <f t="shared" si="40"/>
        <v>3524038.5879348121</v>
      </c>
      <c r="H158" s="188">
        <f>G162*J$2/12</f>
        <v>0</v>
      </c>
      <c r="I158" s="188">
        <f t="shared" si="48"/>
        <v>0</v>
      </c>
      <c r="J158" s="188">
        <f t="shared" si="49"/>
        <v>0</v>
      </c>
      <c r="K158" s="188">
        <f t="shared" si="42"/>
        <v>0</v>
      </c>
      <c r="L158" s="188">
        <f t="shared" si="43"/>
        <v>25364.821687323572</v>
      </c>
    </row>
    <row r="159" spans="1:12">
      <c r="A159" s="114">
        <v>13</v>
      </c>
      <c r="B159" s="182">
        <f t="shared" si="44"/>
        <v>153</v>
      </c>
      <c r="C159" s="188">
        <f t="shared" si="41"/>
        <v>3524038.5879348121</v>
      </c>
      <c r="D159" s="188">
        <f t="shared" si="38"/>
        <v>14683.494116395052</v>
      </c>
      <c r="E159" s="188">
        <f t="shared" si="45"/>
        <v>10681.327570928521</v>
      </c>
      <c r="F159" s="188">
        <f t="shared" si="39"/>
        <v>25364.821687323572</v>
      </c>
      <c r="G159" s="188">
        <f t="shared" si="40"/>
        <v>3513357.2603638833</v>
      </c>
      <c r="H159" s="188">
        <f>G162*J$2/12</f>
        <v>0</v>
      </c>
      <c r="I159" s="188">
        <f t="shared" si="48"/>
        <v>0</v>
      </c>
      <c r="J159" s="188">
        <f t="shared" si="49"/>
        <v>0</v>
      </c>
      <c r="K159" s="188">
        <f t="shared" si="42"/>
        <v>0</v>
      </c>
      <c r="L159" s="188">
        <f t="shared" si="43"/>
        <v>25364.821687323572</v>
      </c>
    </row>
    <row r="160" spans="1:12">
      <c r="A160" s="114">
        <v>13</v>
      </c>
      <c r="B160" s="182">
        <f t="shared" si="44"/>
        <v>154</v>
      </c>
      <c r="C160" s="188">
        <f t="shared" si="41"/>
        <v>3513357.2603638833</v>
      </c>
      <c r="D160" s="188">
        <f t="shared" si="38"/>
        <v>14638.988584849516</v>
      </c>
      <c r="E160" s="188">
        <f t="shared" si="45"/>
        <v>10725.833102474056</v>
      </c>
      <c r="F160" s="188">
        <f t="shared" si="39"/>
        <v>25364.821687323572</v>
      </c>
      <c r="G160" s="188">
        <f t="shared" si="40"/>
        <v>3502631.4272614093</v>
      </c>
      <c r="H160" s="188">
        <f>G162*J$2/12</f>
        <v>0</v>
      </c>
      <c r="I160" s="188">
        <f t="shared" si="48"/>
        <v>0</v>
      </c>
      <c r="J160" s="188">
        <f t="shared" si="49"/>
        <v>0</v>
      </c>
      <c r="K160" s="188">
        <f t="shared" si="42"/>
        <v>0</v>
      </c>
      <c r="L160" s="188">
        <f t="shared" si="43"/>
        <v>25364.821687323572</v>
      </c>
    </row>
    <row r="161" spans="1:12">
      <c r="A161" s="114">
        <v>13</v>
      </c>
      <c r="B161" s="182">
        <f t="shared" si="44"/>
        <v>155</v>
      </c>
      <c r="C161" s="188">
        <f t="shared" si="41"/>
        <v>3502631.4272614093</v>
      </c>
      <c r="D161" s="188">
        <f t="shared" si="38"/>
        <v>14594.297613589208</v>
      </c>
      <c r="E161" s="188">
        <f t="shared" si="45"/>
        <v>10770.524073734365</v>
      </c>
      <c r="F161" s="188">
        <f t="shared" si="39"/>
        <v>25364.821687323572</v>
      </c>
      <c r="G161" s="188">
        <f t="shared" si="40"/>
        <v>3491860.9031876749</v>
      </c>
      <c r="H161" s="188">
        <f>G162*J$2/12</f>
        <v>0</v>
      </c>
      <c r="I161" s="188">
        <f t="shared" si="48"/>
        <v>0</v>
      </c>
      <c r="J161" s="188">
        <f t="shared" si="49"/>
        <v>0</v>
      </c>
      <c r="K161" s="188">
        <f t="shared" si="42"/>
        <v>0</v>
      </c>
      <c r="L161" s="188">
        <f t="shared" si="43"/>
        <v>25364.821687323572</v>
      </c>
    </row>
    <row r="162" spans="1:12">
      <c r="A162" s="238">
        <v>13</v>
      </c>
      <c r="B162" s="239">
        <f t="shared" si="44"/>
        <v>156</v>
      </c>
      <c r="C162" s="240">
        <f t="shared" si="41"/>
        <v>3491860.9031876749</v>
      </c>
      <c r="D162" s="240">
        <f t="shared" si="38"/>
        <v>14549.420429948646</v>
      </c>
      <c r="E162" s="240">
        <f t="shared" si="45"/>
        <v>10815.401257374926</v>
      </c>
      <c r="F162" s="240">
        <f t="shared" si="39"/>
        <v>25364.821687323572</v>
      </c>
      <c r="G162" s="240">
        <f t="shared" si="40"/>
        <v>3481045.5019303001</v>
      </c>
      <c r="H162" s="240">
        <f>G162*J$2/12</f>
        <v>0</v>
      </c>
      <c r="I162" s="240">
        <f t="shared" si="48"/>
        <v>0</v>
      </c>
      <c r="J162" s="240">
        <f t="shared" si="49"/>
        <v>0</v>
      </c>
      <c r="K162" s="240">
        <f t="shared" si="42"/>
        <v>0</v>
      </c>
      <c r="L162" s="240">
        <f t="shared" si="43"/>
        <v>25364.821687323572</v>
      </c>
    </row>
    <row r="163" spans="1:12">
      <c r="A163" s="114">
        <v>14</v>
      </c>
      <c r="B163" s="182">
        <f t="shared" si="44"/>
        <v>157</v>
      </c>
      <c r="C163" s="188">
        <f t="shared" si="41"/>
        <v>3481045.5019303001</v>
      </c>
      <c r="D163" s="188">
        <f t="shared" si="38"/>
        <v>14504.356258042919</v>
      </c>
      <c r="E163" s="188">
        <f t="shared" si="45"/>
        <v>10860.465429280654</v>
      </c>
      <c r="F163" s="188">
        <f t="shared" si="39"/>
        <v>25364.821687323572</v>
      </c>
      <c r="G163" s="188">
        <f t="shared" si="40"/>
        <v>3470185.0365010193</v>
      </c>
      <c r="H163" s="188">
        <f>G174*J$2/12</f>
        <v>0</v>
      </c>
      <c r="I163" s="188">
        <f t="shared" ref="I163:I174" si="50">(($C$163*$I$4)/12)</f>
        <v>0</v>
      </c>
      <c r="J163" s="188">
        <f t="shared" ref="J163:J174" si="51">(($C$163*$J$4)/12)</f>
        <v>0</v>
      </c>
      <c r="K163" s="188">
        <f t="shared" si="42"/>
        <v>0</v>
      </c>
      <c r="L163" s="188">
        <f t="shared" si="43"/>
        <v>25364.821687323572</v>
      </c>
    </row>
    <row r="164" spans="1:12">
      <c r="A164" s="114">
        <v>14</v>
      </c>
      <c r="B164" s="182">
        <f t="shared" si="44"/>
        <v>158</v>
      </c>
      <c r="C164" s="188">
        <f t="shared" si="41"/>
        <v>3470185.0365010193</v>
      </c>
      <c r="D164" s="188">
        <f t="shared" si="38"/>
        <v>14459.104318754247</v>
      </c>
      <c r="E164" s="188">
        <f t="shared" si="45"/>
        <v>10905.717368569325</v>
      </c>
      <c r="F164" s="188">
        <f t="shared" si="39"/>
        <v>25364.821687323572</v>
      </c>
      <c r="G164" s="188">
        <f t="shared" si="40"/>
        <v>3459279.31913245</v>
      </c>
      <c r="H164" s="188">
        <f>G174*J$2/12</f>
        <v>0</v>
      </c>
      <c r="I164" s="188">
        <f t="shared" si="50"/>
        <v>0</v>
      </c>
      <c r="J164" s="188">
        <f t="shared" si="51"/>
        <v>0</v>
      </c>
      <c r="K164" s="188">
        <f t="shared" si="42"/>
        <v>0</v>
      </c>
      <c r="L164" s="188">
        <f t="shared" si="43"/>
        <v>25364.821687323572</v>
      </c>
    </row>
    <row r="165" spans="1:12">
      <c r="A165" s="114">
        <v>14</v>
      </c>
      <c r="B165" s="182">
        <f t="shared" si="44"/>
        <v>159</v>
      </c>
      <c r="C165" s="188">
        <f t="shared" si="41"/>
        <v>3459279.31913245</v>
      </c>
      <c r="D165" s="188">
        <f t="shared" si="38"/>
        <v>14413.663829718542</v>
      </c>
      <c r="E165" s="188">
        <f t="shared" si="45"/>
        <v>10951.157857605031</v>
      </c>
      <c r="F165" s="188">
        <f t="shared" si="39"/>
        <v>25364.821687323572</v>
      </c>
      <c r="G165" s="188">
        <f t="shared" si="40"/>
        <v>3448328.1612748448</v>
      </c>
      <c r="H165" s="188">
        <f>G174*J$2/12</f>
        <v>0</v>
      </c>
      <c r="I165" s="188">
        <f t="shared" si="50"/>
        <v>0</v>
      </c>
      <c r="J165" s="188">
        <f t="shared" si="51"/>
        <v>0</v>
      </c>
      <c r="K165" s="188">
        <f t="shared" si="42"/>
        <v>0</v>
      </c>
      <c r="L165" s="188">
        <f t="shared" si="43"/>
        <v>25364.821687323572</v>
      </c>
    </row>
    <row r="166" spans="1:12">
      <c r="A166" s="114">
        <v>14</v>
      </c>
      <c r="B166" s="182">
        <f t="shared" si="44"/>
        <v>160</v>
      </c>
      <c r="C166" s="188">
        <f t="shared" si="41"/>
        <v>3448328.1612748448</v>
      </c>
      <c r="D166" s="188">
        <f t="shared" si="38"/>
        <v>14368.034005311854</v>
      </c>
      <c r="E166" s="188">
        <f t="shared" si="45"/>
        <v>10996.787682011718</v>
      </c>
      <c r="F166" s="188">
        <f t="shared" si="39"/>
        <v>25364.821687323572</v>
      </c>
      <c r="G166" s="188">
        <f t="shared" si="40"/>
        <v>3437331.3735928331</v>
      </c>
      <c r="H166" s="188">
        <f>G174*J$2/12</f>
        <v>0</v>
      </c>
      <c r="I166" s="188">
        <f t="shared" si="50"/>
        <v>0</v>
      </c>
      <c r="J166" s="188">
        <f t="shared" si="51"/>
        <v>0</v>
      </c>
      <c r="K166" s="188">
        <f t="shared" si="42"/>
        <v>0</v>
      </c>
      <c r="L166" s="188">
        <f t="shared" si="43"/>
        <v>25364.821687323572</v>
      </c>
    </row>
    <row r="167" spans="1:12">
      <c r="A167" s="114">
        <v>14</v>
      </c>
      <c r="B167" s="182">
        <f t="shared" si="44"/>
        <v>161</v>
      </c>
      <c r="C167" s="188">
        <f t="shared" si="41"/>
        <v>3437331.3735928331</v>
      </c>
      <c r="D167" s="188">
        <f t="shared" si="38"/>
        <v>14322.214056636805</v>
      </c>
      <c r="E167" s="188">
        <f t="shared" si="45"/>
        <v>11042.607630686767</v>
      </c>
      <c r="F167" s="188">
        <f t="shared" si="39"/>
        <v>25364.821687323572</v>
      </c>
      <c r="G167" s="188">
        <f t="shared" si="40"/>
        <v>3426288.7659621462</v>
      </c>
      <c r="H167" s="188">
        <f>G174*J$2/12</f>
        <v>0</v>
      </c>
      <c r="I167" s="188">
        <f t="shared" si="50"/>
        <v>0</v>
      </c>
      <c r="J167" s="188">
        <f t="shared" si="51"/>
        <v>0</v>
      </c>
      <c r="K167" s="188">
        <f t="shared" si="42"/>
        <v>0</v>
      </c>
      <c r="L167" s="188">
        <f t="shared" si="43"/>
        <v>25364.821687323572</v>
      </c>
    </row>
    <row r="168" spans="1:12">
      <c r="A168" s="114">
        <v>14</v>
      </c>
      <c r="B168" s="182">
        <f t="shared" si="44"/>
        <v>162</v>
      </c>
      <c r="C168" s="188">
        <f t="shared" si="41"/>
        <v>3426288.7659621462</v>
      </c>
      <c r="D168" s="188">
        <f t="shared" si="38"/>
        <v>14276.203191508945</v>
      </c>
      <c r="E168" s="188">
        <f t="shared" si="45"/>
        <v>11088.618495814628</v>
      </c>
      <c r="F168" s="188">
        <f t="shared" si="39"/>
        <v>25364.821687323572</v>
      </c>
      <c r="G168" s="188">
        <f t="shared" si="40"/>
        <v>3415200.1474663317</v>
      </c>
      <c r="H168" s="188">
        <f>G174*J$2/12</f>
        <v>0</v>
      </c>
      <c r="I168" s="188">
        <f t="shared" si="50"/>
        <v>0</v>
      </c>
      <c r="J168" s="188">
        <f t="shared" si="51"/>
        <v>0</v>
      </c>
      <c r="K168" s="188">
        <f t="shared" si="42"/>
        <v>0</v>
      </c>
      <c r="L168" s="188">
        <f t="shared" si="43"/>
        <v>25364.821687323572</v>
      </c>
    </row>
    <row r="169" spans="1:12">
      <c r="A169" s="114">
        <v>14</v>
      </c>
      <c r="B169" s="182">
        <f t="shared" si="44"/>
        <v>163</v>
      </c>
      <c r="C169" s="188">
        <f t="shared" si="41"/>
        <v>3415200.1474663317</v>
      </c>
      <c r="D169" s="188">
        <f t="shared" si="38"/>
        <v>14230.00061444305</v>
      </c>
      <c r="E169" s="188">
        <f t="shared" si="45"/>
        <v>11134.821072880522</v>
      </c>
      <c r="F169" s="188">
        <f t="shared" si="39"/>
        <v>25364.821687323572</v>
      </c>
      <c r="G169" s="188">
        <f t="shared" si="40"/>
        <v>3404065.3263934511</v>
      </c>
      <c r="H169" s="188">
        <f>G174*J$2/12</f>
        <v>0</v>
      </c>
      <c r="I169" s="188">
        <f t="shared" si="50"/>
        <v>0</v>
      </c>
      <c r="J169" s="188">
        <f t="shared" si="51"/>
        <v>0</v>
      </c>
      <c r="K169" s="188">
        <f t="shared" si="42"/>
        <v>0</v>
      </c>
      <c r="L169" s="188">
        <f t="shared" si="43"/>
        <v>25364.821687323572</v>
      </c>
    </row>
    <row r="170" spans="1:12">
      <c r="A170" s="114">
        <v>14</v>
      </c>
      <c r="B170" s="182">
        <f t="shared" si="44"/>
        <v>164</v>
      </c>
      <c r="C170" s="188">
        <f t="shared" si="41"/>
        <v>3404065.3263934511</v>
      </c>
      <c r="D170" s="188">
        <f t="shared" si="38"/>
        <v>14183.605526639381</v>
      </c>
      <c r="E170" s="188">
        <f t="shared" si="45"/>
        <v>11181.216160684191</v>
      </c>
      <c r="F170" s="188">
        <f t="shared" si="39"/>
        <v>25364.821687323572</v>
      </c>
      <c r="G170" s="188">
        <f t="shared" si="40"/>
        <v>3392884.1102327667</v>
      </c>
      <c r="H170" s="188">
        <f>G174*J$2/12</f>
        <v>0</v>
      </c>
      <c r="I170" s="188">
        <f t="shared" si="50"/>
        <v>0</v>
      </c>
      <c r="J170" s="188">
        <f t="shared" si="51"/>
        <v>0</v>
      </c>
      <c r="K170" s="188">
        <f t="shared" si="42"/>
        <v>0</v>
      </c>
      <c r="L170" s="188">
        <f t="shared" si="43"/>
        <v>25364.821687323572</v>
      </c>
    </row>
    <row r="171" spans="1:12">
      <c r="A171" s="114">
        <v>14</v>
      </c>
      <c r="B171" s="182">
        <f t="shared" si="44"/>
        <v>165</v>
      </c>
      <c r="C171" s="188">
        <f t="shared" si="41"/>
        <v>3392884.1102327667</v>
      </c>
      <c r="D171" s="188">
        <f t="shared" si="38"/>
        <v>14137.017125969862</v>
      </c>
      <c r="E171" s="188">
        <f t="shared" si="45"/>
        <v>11227.804561353711</v>
      </c>
      <c r="F171" s="188">
        <f t="shared" si="39"/>
        <v>25364.821687323572</v>
      </c>
      <c r="G171" s="188">
        <f t="shared" si="40"/>
        <v>3381656.305671413</v>
      </c>
      <c r="H171" s="188">
        <f>G174*J$2/12</f>
        <v>0</v>
      </c>
      <c r="I171" s="188">
        <f t="shared" si="50"/>
        <v>0</v>
      </c>
      <c r="J171" s="188">
        <f t="shared" si="51"/>
        <v>0</v>
      </c>
      <c r="K171" s="188">
        <f t="shared" si="42"/>
        <v>0</v>
      </c>
      <c r="L171" s="188">
        <f t="shared" si="43"/>
        <v>25364.821687323572</v>
      </c>
    </row>
    <row r="172" spans="1:12">
      <c r="A172" s="114">
        <v>14</v>
      </c>
      <c r="B172" s="182">
        <f t="shared" si="44"/>
        <v>166</v>
      </c>
      <c r="C172" s="188">
        <f t="shared" si="41"/>
        <v>3381656.305671413</v>
      </c>
      <c r="D172" s="188">
        <f t="shared" si="38"/>
        <v>14090.234606964223</v>
      </c>
      <c r="E172" s="188">
        <f t="shared" si="45"/>
        <v>11274.58708035935</v>
      </c>
      <c r="F172" s="188">
        <f t="shared" si="39"/>
        <v>25364.821687323572</v>
      </c>
      <c r="G172" s="188">
        <f t="shared" si="40"/>
        <v>3370381.7185910535</v>
      </c>
      <c r="H172" s="188">
        <f>G174*J$2/12</f>
        <v>0</v>
      </c>
      <c r="I172" s="188">
        <f t="shared" si="50"/>
        <v>0</v>
      </c>
      <c r="J172" s="188">
        <f t="shared" si="51"/>
        <v>0</v>
      </c>
      <c r="K172" s="188">
        <f t="shared" si="42"/>
        <v>0</v>
      </c>
      <c r="L172" s="188">
        <f t="shared" si="43"/>
        <v>25364.821687323572</v>
      </c>
    </row>
    <row r="173" spans="1:12">
      <c r="A173" s="114">
        <v>14</v>
      </c>
      <c r="B173" s="182">
        <f t="shared" si="44"/>
        <v>167</v>
      </c>
      <c r="C173" s="188">
        <f t="shared" si="41"/>
        <v>3370381.7185910535</v>
      </c>
      <c r="D173" s="188">
        <f t="shared" si="38"/>
        <v>14043.257160796056</v>
      </c>
      <c r="E173" s="188">
        <f t="shared" si="45"/>
        <v>11321.564526527516</v>
      </c>
      <c r="F173" s="188">
        <f t="shared" si="39"/>
        <v>25364.821687323572</v>
      </c>
      <c r="G173" s="188">
        <f t="shared" si="40"/>
        <v>3359060.1540645259</v>
      </c>
      <c r="H173" s="188">
        <f>G174*J$2/12</f>
        <v>0</v>
      </c>
      <c r="I173" s="188">
        <f t="shared" si="50"/>
        <v>0</v>
      </c>
      <c r="J173" s="188">
        <f t="shared" si="51"/>
        <v>0</v>
      </c>
      <c r="K173" s="188">
        <f t="shared" si="42"/>
        <v>0</v>
      </c>
      <c r="L173" s="188">
        <f t="shared" si="43"/>
        <v>25364.821687323572</v>
      </c>
    </row>
    <row r="174" spans="1:12">
      <c r="A174" s="238">
        <v>14</v>
      </c>
      <c r="B174" s="239">
        <f t="shared" si="44"/>
        <v>168</v>
      </c>
      <c r="C174" s="240">
        <f t="shared" si="41"/>
        <v>3359060.1540645259</v>
      </c>
      <c r="D174" s="240">
        <f t="shared" si="38"/>
        <v>13996.083975268857</v>
      </c>
      <c r="E174" s="240">
        <f t="shared" si="45"/>
        <v>11368.737712054715</v>
      </c>
      <c r="F174" s="240">
        <f t="shared" si="39"/>
        <v>25364.821687323572</v>
      </c>
      <c r="G174" s="240">
        <f t="shared" si="40"/>
        <v>3347691.4163524713</v>
      </c>
      <c r="H174" s="240">
        <f>G174*J$2/12</f>
        <v>0</v>
      </c>
      <c r="I174" s="240">
        <f t="shared" si="50"/>
        <v>0</v>
      </c>
      <c r="J174" s="240">
        <f t="shared" si="51"/>
        <v>0</v>
      </c>
      <c r="K174" s="240">
        <f t="shared" si="42"/>
        <v>0</v>
      </c>
      <c r="L174" s="240">
        <f t="shared" si="43"/>
        <v>25364.821687323572</v>
      </c>
    </row>
    <row r="175" spans="1:12">
      <c r="A175" s="114">
        <v>15</v>
      </c>
      <c r="B175" s="182">
        <f t="shared" si="44"/>
        <v>169</v>
      </c>
      <c r="C175" s="188">
        <f t="shared" si="41"/>
        <v>3347691.4163524713</v>
      </c>
      <c r="D175" s="188">
        <f t="shared" si="38"/>
        <v>13948.714234801964</v>
      </c>
      <c r="E175" s="188">
        <f t="shared" si="45"/>
        <v>11416.107452521608</v>
      </c>
      <c r="F175" s="188">
        <f t="shared" si="39"/>
        <v>25364.821687323572</v>
      </c>
      <c r="G175" s="188">
        <f t="shared" si="40"/>
        <v>3336275.3088999498</v>
      </c>
      <c r="H175" s="188">
        <f>G186*J$2/12</f>
        <v>0</v>
      </c>
      <c r="I175" s="188">
        <f t="shared" ref="I175:I186" si="52">(($C$175*$I$4)/12)</f>
        <v>0</v>
      </c>
      <c r="J175" s="188">
        <f t="shared" ref="J175:J186" si="53">(($C$175*$J$4)/12)</f>
        <v>0</v>
      </c>
      <c r="K175" s="188">
        <f t="shared" si="42"/>
        <v>0</v>
      </c>
      <c r="L175" s="188">
        <f t="shared" si="43"/>
        <v>25364.821687323572</v>
      </c>
    </row>
    <row r="176" spans="1:12">
      <c r="A176" s="114">
        <v>15</v>
      </c>
      <c r="B176" s="182">
        <f t="shared" si="44"/>
        <v>170</v>
      </c>
      <c r="C176" s="188">
        <f t="shared" si="41"/>
        <v>3336275.3088999498</v>
      </c>
      <c r="D176" s="188">
        <f t="shared" si="38"/>
        <v>13901.147120416457</v>
      </c>
      <c r="E176" s="188">
        <f t="shared" si="45"/>
        <v>11463.674566907115</v>
      </c>
      <c r="F176" s="188">
        <f t="shared" si="39"/>
        <v>25364.821687323572</v>
      </c>
      <c r="G176" s="188">
        <f t="shared" si="40"/>
        <v>3324811.6343330424</v>
      </c>
      <c r="H176" s="188">
        <f>G186*J$2/12</f>
        <v>0</v>
      </c>
      <c r="I176" s="188">
        <f t="shared" si="52"/>
        <v>0</v>
      </c>
      <c r="J176" s="188">
        <f t="shared" si="53"/>
        <v>0</v>
      </c>
      <c r="K176" s="188">
        <f t="shared" si="42"/>
        <v>0</v>
      </c>
      <c r="L176" s="188">
        <f t="shared" si="43"/>
        <v>25364.821687323572</v>
      </c>
    </row>
    <row r="177" spans="1:12">
      <c r="A177" s="114">
        <v>15</v>
      </c>
      <c r="B177" s="182">
        <f t="shared" si="44"/>
        <v>171</v>
      </c>
      <c r="C177" s="188">
        <f t="shared" si="41"/>
        <v>3324811.6343330424</v>
      </c>
      <c r="D177" s="188">
        <f t="shared" si="38"/>
        <v>13853.381809721011</v>
      </c>
      <c r="E177" s="188">
        <f t="shared" si="45"/>
        <v>11511.439877602561</v>
      </c>
      <c r="F177" s="188">
        <f t="shared" si="39"/>
        <v>25364.821687323572</v>
      </c>
      <c r="G177" s="188">
        <f t="shared" si="40"/>
        <v>3313300.1944554397</v>
      </c>
      <c r="H177" s="188">
        <f>G186*J$2/12</f>
        <v>0</v>
      </c>
      <c r="I177" s="188">
        <f t="shared" si="52"/>
        <v>0</v>
      </c>
      <c r="J177" s="188">
        <f t="shared" si="53"/>
        <v>0</v>
      </c>
      <c r="K177" s="188">
        <f t="shared" si="42"/>
        <v>0</v>
      </c>
      <c r="L177" s="188">
        <f t="shared" si="43"/>
        <v>25364.821687323572</v>
      </c>
    </row>
    <row r="178" spans="1:12">
      <c r="A178" s="114">
        <v>15</v>
      </c>
      <c r="B178" s="182">
        <f t="shared" si="44"/>
        <v>172</v>
      </c>
      <c r="C178" s="188">
        <f t="shared" si="41"/>
        <v>3313300.1944554397</v>
      </c>
      <c r="D178" s="188">
        <f t="shared" si="38"/>
        <v>13805.417476897666</v>
      </c>
      <c r="E178" s="188">
        <f t="shared" si="45"/>
        <v>11559.404210425906</v>
      </c>
      <c r="F178" s="188">
        <f t="shared" si="39"/>
        <v>25364.821687323572</v>
      </c>
      <c r="G178" s="188">
        <f t="shared" si="40"/>
        <v>3301740.7902450138</v>
      </c>
      <c r="H178" s="188">
        <f>G186*J$2/12</f>
        <v>0</v>
      </c>
      <c r="I178" s="188">
        <f t="shared" si="52"/>
        <v>0</v>
      </c>
      <c r="J178" s="188">
        <f t="shared" si="53"/>
        <v>0</v>
      </c>
      <c r="K178" s="188">
        <f t="shared" si="42"/>
        <v>0</v>
      </c>
      <c r="L178" s="188">
        <f t="shared" si="43"/>
        <v>25364.821687323572</v>
      </c>
    </row>
    <row r="179" spans="1:12">
      <c r="A179" s="114">
        <v>15</v>
      </c>
      <c r="B179" s="182">
        <f t="shared" si="44"/>
        <v>173</v>
      </c>
      <c r="C179" s="188">
        <f t="shared" si="41"/>
        <v>3301740.7902450138</v>
      </c>
      <c r="D179" s="188">
        <f t="shared" si="38"/>
        <v>13757.253292687557</v>
      </c>
      <c r="E179" s="188">
        <f t="shared" si="45"/>
        <v>11607.568394636015</v>
      </c>
      <c r="F179" s="188">
        <f t="shared" si="39"/>
        <v>25364.821687323572</v>
      </c>
      <c r="G179" s="188">
        <f t="shared" si="40"/>
        <v>3290133.221850378</v>
      </c>
      <c r="H179" s="188">
        <f>G186*J$2/12</f>
        <v>0</v>
      </c>
      <c r="I179" s="188">
        <f t="shared" si="52"/>
        <v>0</v>
      </c>
      <c r="J179" s="188">
        <f t="shared" si="53"/>
        <v>0</v>
      </c>
      <c r="K179" s="188">
        <f t="shared" si="42"/>
        <v>0</v>
      </c>
      <c r="L179" s="188">
        <f t="shared" si="43"/>
        <v>25364.821687323572</v>
      </c>
    </row>
    <row r="180" spans="1:12">
      <c r="A180" s="114">
        <v>15</v>
      </c>
      <c r="B180" s="182">
        <f t="shared" si="44"/>
        <v>174</v>
      </c>
      <c r="C180" s="188">
        <f t="shared" si="41"/>
        <v>3290133.221850378</v>
      </c>
      <c r="D180" s="188">
        <f t="shared" si="38"/>
        <v>13708.888424376577</v>
      </c>
      <c r="E180" s="188">
        <f t="shared" si="45"/>
        <v>11655.933262946995</v>
      </c>
      <c r="F180" s="188">
        <f t="shared" si="39"/>
        <v>25364.821687323572</v>
      </c>
      <c r="G180" s="188">
        <f t="shared" si="40"/>
        <v>3278477.288587431</v>
      </c>
      <c r="H180" s="188">
        <f>G186*J$2/12</f>
        <v>0</v>
      </c>
      <c r="I180" s="188">
        <f t="shared" si="52"/>
        <v>0</v>
      </c>
      <c r="J180" s="188">
        <f t="shared" si="53"/>
        <v>0</v>
      </c>
      <c r="K180" s="188">
        <f t="shared" si="42"/>
        <v>0</v>
      </c>
      <c r="L180" s="188">
        <f t="shared" si="43"/>
        <v>25364.821687323572</v>
      </c>
    </row>
    <row r="181" spans="1:12">
      <c r="A181" s="114">
        <v>15</v>
      </c>
      <c r="B181" s="182">
        <f t="shared" si="44"/>
        <v>175</v>
      </c>
      <c r="C181" s="188">
        <f t="shared" si="41"/>
        <v>3278477.288587431</v>
      </c>
      <c r="D181" s="188">
        <f t="shared" si="38"/>
        <v>13660.322035780962</v>
      </c>
      <c r="E181" s="188">
        <f t="shared" si="45"/>
        <v>11704.49965154261</v>
      </c>
      <c r="F181" s="188">
        <f t="shared" si="39"/>
        <v>25364.821687323572</v>
      </c>
      <c r="G181" s="188">
        <f t="shared" si="40"/>
        <v>3266772.7889358886</v>
      </c>
      <c r="H181" s="188">
        <f>G186*J$2/12</f>
        <v>0</v>
      </c>
      <c r="I181" s="188">
        <f t="shared" si="52"/>
        <v>0</v>
      </c>
      <c r="J181" s="188">
        <f t="shared" si="53"/>
        <v>0</v>
      </c>
      <c r="K181" s="188">
        <f t="shared" si="42"/>
        <v>0</v>
      </c>
      <c r="L181" s="188">
        <f t="shared" si="43"/>
        <v>25364.821687323572</v>
      </c>
    </row>
    <row r="182" spans="1:12">
      <c r="A182" s="114">
        <v>15</v>
      </c>
      <c r="B182" s="182">
        <f t="shared" si="44"/>
        <v>176</v>
      </c>
      <c r="C182" s="188">
        <f t="shared" si="41"/>
        <v>3266772.7889358886</v>
      </c>
      <c r="D182" s="188">
        <f t="shared" si="38"/>
        <v>13611.553287232869</v>
      </c>
      <c r="E182" s="188">
        <f t="shared" si="45"/>
        <v>11753.268400090703</v>
      </c>
      <c r="F182" s="188">
        <f t="shared" si="39"/>
        <v>25364.821687323572</v>
      </c>
      <c r="G182" s="188">
        <f t="shared" si="40"/>
        <v>3255019.5205357978</v>
      </c>
      <c r="H182" s="188">
        <f>G186*J$2/12</f>
        <v>0</v>
      </c>
      <c r="I182" s="188">
        <f t="shared" si="52"/>
        <v>0</v>
      </c>
      <c r="J182" s="188">
        <f t="shared" si="53"/>
        <v>0</v>
      </c>
      <c r="K182" s="188">
        <f t="shared" si="42"/>
        <v>0</v>
      </c>
      <c r="L182" s="188">
        <f t="shared" si="43"/>
        <v>25364.821687323572</v>
      </c>
    </row>
    <row r="183" spans="1:12">
      <c r="A183" s="114">
        <v>15</v>
      </c>
      <c r="B183" s="182">
        <f t="shared" si="44"/>
        <v>177</v>
      </c>
      <c r="C183" s="188">
        <f t="shared" si="41"/>
        <v>3255019.5205357978</v>
      </c>
      <c r="D183" s="188">
        <f t="shared" si="38"/>
        <v>13562.581335565825</v>
      </c>
      <c r="E183" s="188">
        <f t="shared" si="45"/>
        <v>11802.240351757748</v>
      </c>
      <c r="F183" s="188">
        <f t="shared" si="39"/>
        <v>25364.821687323572</v>
      </c>
      <c r="G183" s="188">
        <f t="shared" si="40"/>
        <v>3243217.2801840398</v>
      </c>
      <c r="H183" s="188">
        <f>G186*J$2/12</f>
        <v>0</v>
      </c>
      <c r="I183" s="188">
        <f t="shared" si="52"/>
        <v>0</v>
      </c>
      <c r="J183" s="188">
        <f t="shared" si="53"/>
        <v>0</v>
      </c>
      <c r="K183" s="188">
        <f t="shared" si="42"/>
        <v>0</v>
      </c>
      <c r="L183" s="188">
        <f t="shared" si="43"/>
        <v>25364.821687323572</v>
      </c>
    </row>
    <row r="184" spans="1:12">
      <c r="A184" s="114">
        <v>15</v>
      </c>
      <c r="B184" s="182">
        <f t="shared" si="44"/>
        <v>178</v>
      </c>
      <c r="C184" s="188">
        <f t="shared" si="41"/>
        <v>3243217.2801840398</v>
      </c>
      <c r="D184" s="188">
        <f t="shared" si="38"/>
        <v>13513.405334100165</v>
      </c>
      <c r="E184" s="188">
        <f t="shared" si="45"/>
        <v>11851.416353223407</v>
      </c>
      <c r="F184" s="188">
        <f t="shared" si="39"/>
        <v>25364.821687323572</v>
      </c>
      <c r="G184" s="188">
        <f t="shared" si="40"/>
        <v>3231365.8638308165</v>
      </c>
      <c r="H184" s="188">
        <f>G186*J$2/12</f>
        <v>0</v>
      </c>
      <c r="I184" s="188">
        <f t="shared" si="52"/>
        <v>0</v>
      </c>
      <c r="J184" s="188">
        <f t="shared" si="53"/>
        <v>0</v>
      </c>
      <c r="K184" s="188">
        <f t="shared" si="42"/>
        <v>0</v>
      </c>
      <c r="L184" s="188">
        <f t="shared" si="43"/>
        <v>25364.821687323572</v>
      </c>
    </row>
    <row r="185" spans="1:12">
      <c r="A185" s="114">
        <v>15</v>
      </c>
      <c r="B185" s="182">
        <f t="shared" si="44"/>
        <v>179</v>
      </c>
      <c r="C185" s="188">
        <f t="shared" si="41"/>
        <v>3231365.8638308165</v>
      </c>
      <c r="D185" s="188">
        <f t="shared" si="38"/>
        <v>13464.024432628403</v>
      </c>
      <c r="E185" s="188">
        <f t="shared" si="45"/>
        <v>11900.79725469517</v>
      </c>
      <c r="F185" s="188">
        <f t="shared" si="39"/>
        <v>25364.821687323572</v>
      </c>
      <c r="G185" s="188">
        <f t="shared" si="40"/>
        <v>3219465.0665761214</v>
      </c>
      <c r="H185" s="188">
        <f>G186*J$2/12</f>
        <v>0</v>
      </c>
      <c r="I185" s="188">
        <f t="shared" si="52"/>
        <v>0</v>
      </c>
      <c r="J185" s="188">
        <f t="shared" si="53"/>
        <v>0</v>
      </c>
      <c r="K185" s="188">
        <f t="shared" si="42"/>
        <v>0</v>
      </c>
      <c r="L185" s="188">
        <f t="shared" si="43"/>
        <v>25364.821687323572</v>
      </c>
    </row>
    <row r="186" spans="1:12">
      <c r="A186" s="238">
        <v>15</v>
      </c>
      <c r="B186" s="239">
        <f t="shared" si="44"/>
        <v>180</v>
      </c>
      <c r="C186" s="240">
        <f t="shared" si="41"/>
        <v>3219465.0665761214</v>
      </c>
      <c r="D186" s="240">
        <f t="shared" si="38"/>
        <v>13414.437777400506</v>
      </c>
      <c r="E186" s="240">
        <f t="shared" si="45"/>
        <v>11950.383909923066</v>
      </c>
      <c r="F186" s="240">
        <f t="shared" si="39"/>
        <v>25364.821687323572</v>
      </c>
      <c r="G186" s="240">
        <f t="shared" si="40"/>
        <v>3207514.6826661984</v>
      </c>
      <c r="H186" s="240">
        <f>G186*J$2/12</f>
        <v>0</v>
      </c>
      <c r="I186" s="240">
        <f t="shared" si="52"/>
        <v>0</v>
      </c>
      <c r="J186" s="240">
        <f t="shared" si="53"/>
        <v>0</v>
      </c>
      <c r="K186" s="240">
        <f t="shared" si="42"/>
        <v>0</v>
      </c>
      <c r="L186" s="240">
        <f t="shared" si="43"/>
        <v>25364.821687323572</v>
      </c>
    </row>
    <row r="187" spans="1:12">
      <c r="A187" s="114">
        <v>16</v>
      </c>
      <c r="B187" s="182">
        <f t="shared" si="44"/>
        <v>181</v>
      </c>
      <c r="C187" s="188">
        <f t="shared" si="41"/>
        <v>3207514.6826661984</v>
      </c>
      <c r="D187" s="188">
        <f t="shared" si="38"/>
        <v>13364.64451110916</v>
      </c>
      <c r="E187" s="188">
        <f t="shared" si="45"/>
        <v>12000.177176214413</v>
      </c>
      <c r="F187" s="188">
        <f t="shared" si="39"/>
        <v>25364.821687323572</v>
      </c>
      <c r="G187" s="188">
        <f t="shared" si="40"/>
        <v>3195514.5054899841</v>
      </c>
      <c r="H187" s="188">
        <f>G198*J$2/12</f>
        <v>0</v>
      </c>
      <c r="I187" s="188">
        <f t="shared" ref="I187:I198" si="54">(($C$187*$I$4)/12)</f>
        <v>0</v>
      </c>
      <c r="J187" s="188">
        <f t="shared" ref="J187:J198" si="55">(($C$187*$J$4)/12)</f>
        <v>0</v>
      </c>
      <c r="K187" s="188">
        <f t="shared" si="42"/>
        <v>0</v>
      </c>
      <c r="L187" s="188">
        <f t="shared" si="43"/>
        <v>25364.821687323572</v>
      </c>
    </row>
    <row r="188" spans="1:12">
      <c r="A188" s="114">
        <v>16</v>
      </c>
      <c r="B188" s="182">
        <f t="shared" si="44"/>
        <v>182</v>
      </c>
      <c r="C188" s="188">
        <f t="shared" si="41"/>
        <v>3195514.5054899841</v>
      </c>
      <c r="D188" s="188">
        <f t="shared" si="38"/>
        <v>13314.643772874935</v>
      </c>
      <c r="E188" s="188">
        <f t="shared" si="45"/>
        <v>12050.177914448637</v>
      </c>
      <c r="F188" s="188">
        <f t="shared" si="39"/>
        <v>25364.821687323572</v>
      </c>
      <c r="G188" s="188">
        <f t="shared" si="40"/>
        <v>3183464.3275755355</v>
      </c>
      <c r="H188" s="188">
        <f>G198*J$2/12</f>
        <v>0</v>
      </c>
      <c r="I188" s="188">
        <f t="shared" si="54"/>
        <v>0</v>
      </c>
      <c r="J188" s="188">
        <f t="shared" si="55"/>
        <v>0</v>
      </c>
      <c r="K188" s="188">
        <f t="shared" si="42"/>
        <v>0</v>
      </c>
      <c r="L188" s="188">
        <f t="shared" si="43"/>
        <v>25364.821687323572</v>
      </c>
    </row>
    <row r="189" spans="1:12">
      <c r="A189" s="114">
        <v>16</v>
      </c>
      <c r="B189" s="182">
        <f t="shared" si="44"/>
        <v>183</v>
      </c>
      <c r="C189" s="188">
        <f t="shared" si="41"/>
        <v>3183464.3275755355</v>
      </c>
      <c r="D189" s="188">
        <f t="shared" si="38"/>
        <v>13264.4346982314</v>
      </c>
      <c r="E189" s="188">
        <f t="shared" si="45"/>
        <v>12100.386989092172</v>
      </c>
      <c r="F189" s="188">
        <f t="shared" si="39"/>
        <v>25364.821687323572</v>
      </c>
      <c r="G189" s="188">
        <f t="shared" si="40"/>
        <v>3171363.9405864435</v>
      </c>
      <c r="H189" s="188">
        <f>G198*J$2/12</f>
        <v>0</v>
      </c>
      <c r="I189" s="188">
        <f t="shared" si="54"/>
        <v>0</v>
      </c>
      <c r="J189" s="188">
        <f t="shared" si="55"/>
        <v>0</v>
      </c>
      <c r="K189" s="188">
        <f t="shared" si="42"/>
        <v>0</v>
      </c>
      <c r="L189" s="188">
        <f t="shared" si="43"/>
        <v>25364.821687323572</v>
      </c>
    </row>
    <row r="190" spans="1:12">
      <c r="A190" s="114">
        <v>16</v>
      </c>
      <c r="B190" s="182">
        <f t="shared" si="44"/>
        <v>184</v>
      </c>
      <c r="C190" s="188">
        <f t="shared" si="41"/>
        <v>3171363.9405864435</v>
      </c>
      <c r="D190" s="188">
        <f t="shared" si="38"/>
        <v>13214.016419110181</v>
      </c>
      <c r="E190" s="188">
        <f t="shared" si="45"/>
        <v>12150.805268213391</v>
      </c>
      <c r="F190" s="188">
        <f t="shared" si="39"/>
        <v>25364.821687323572</v>
      </c>
      <c r="G190" s="188">
        <f t="shared" si="40"/>
        <v>3159213.1353182299</v>
      </c>
      <c r="H190" s="188">
        <f>G198*J$2/12</f>
        <v>0</v>
      </c>
      <c r="I190" s="188">
        <f t="shared" si="54"/>
        <v>0</v>
      </c>
      <c r="J190" s="188">
        <f t="shared" si="55"/>
        <v>0</v>
      </c>
      <c r="K190" s="188">
        <f t="shared" si="42"/>
        <v>0</v>
      </c>
      <c r="L190" s="188">
        <f t="shared" si="43"/>
        <v>25364.821687323572</v>
      </c>
    </row>
    <row r="191" spans="1:12">
      <c r="A191" s="114">
        <v>16</v>
      </c>
      <c r="B191" s="182">
        <f t="shared" si="44"/>
        <v>185</v>
      </c>
      <c r="C191" s="188">
        <f t="shared" si="41"/>
        <v>3159213.1353182299</v>
      </c>
      <c r="D191" s="188">
        <f t="shared" si="38"/>
        <v>13163.388063825958</v>
      </c>
      <c r="E191" s="188">
        <f t="shared" si="45"/>
        <v>12201.433623497614</v>
      </c>
      <c r="F191" s="188">
        <f t="shared" si="39"/>
        <v>25364.821687323572</v>
      </c>
      <c r="G191" s="188">
        <f t="shared" si="40"/>
        <v>3147011.7016947321</v>
      </c>
      <c r="H191" s="188">
        <f>G198*J$2/12</f>
        <v>0</v>
      </c>
      <c r="I191" s="188">
        <f t="shared" si="54"/>
        <v>0</v>
      </c>
      <c r="J191" s="188">
        <f t="shared" si="55"/>
        <v>0</v>
      </c>
      <c r="K191" s="188">
        <f t="shared" si="42"/>
        <v>0</v>
      </c>
      <c r="L191" s="188">
        <f t="shared" si="43"/>
        <v>25364.821687323572</v>
      </c>
    </row>
    <row r="192" spans="1:12">
      <c r="A192" s="114">
        <v>16</v>
      </c>
      <c r="B192" s="182">
        <f t="shared" si="44"/>
        <v>186</v>
      </c>
      <c r="C192" s="188">
        <f t="shared" si="41"/>
        <v>3147011.7016947321</v>
      </c>
      <c r="D192" s="188">
        <f t="shared" si="38"/>
        <v>13112.548757061384</v>
      </c>
      <c r="E192" s="188">
        <f t="shared" si="45"/>
        <v>12252.272930262188</v>
      </c>
      <c r="F192" s="188">
        <f t="shared" si="39"/>
        <v>25364.821687323572</v>
      </c>
      <c r="G192" s="188">
        <f t="shared" si="40"/>
        <v>3134759.4287644699</v>
      </c>
      <c r="H192" s="188">
        <f>G198*J$2/12</f>
        <v>0</v>
      </c>
      <c r="I192" s="188">
        <f t="shared" si="54"/>
        <v>0</v>
      </c>
      <c r="J192" s="188">
        <f t="shared" si="55"/>
        <v>0</v>
      </c>
      <c r="K192" s="188">
        <f t="shared" si="42"/>
        <v>0</v>
      </c>
      <c r="L192" s="188">
        <f t="shared" si="43"/>
        <v>25364.821687323572</v>
      </c>
    </row>
    <row r="193" spans="1:12">
      <c r="A193" s="114">
        <v>16</v>
      </c>
      <c r="B193" s="182">
        <f t="shared" si="44"/>
        <v>187</v>
      </c>
      <c r="C193" s="188">
        <f t="shared" si="41"/>
        <v>3134759.4287644699</v>
      </c>
      <c r="D193" s="188">
        <f t="shared" si="38"/>
        <v>13061.497619851958</v>
      </c>
      <c r="E193" s="188">
        <f t="shared" si="45"/>
        <v>12303.324067471614</v>
      </c>
      <c r="F193" s="188">
        <f t="shared" si="39"/>
        <v>25364.821687323572</v>
      </c>
      <c r="G193" s="188">
        <f t="shared" si="40"/>
        <v>3122456.1046969984</v>
      </c>
      <c r="H193" s="188">
        <f>G198*J$2/12</f>
        <v>0</v>
      </c>
      <c r="I193" s="188">
        <f t="shared" si="54"/>
        <v>0</v>
      </c>
      <c r="J193" s="188">
        <f t="shared" si="55"/>
        <v>0</v>
      </c>
      <c r="K193" s="188">
        <f t="shared" si="42"/>
        <v>0</v>
      </c>
      <c r="L193" s="188">
        <f t="shared" si="43"/>
        <v>25364.821687323572</v>
      </c>
    </row>
    <row r="194" spans="1:12">
      <c r="A194" s="114">
        <v>16</v>
      </c>
      <c r="B194" s="182">
        <f t="shared" si="44"/>
        <v>188</v>
      </c>
      <c r="C194" s="188">
        <f t="shared" si="41"/>
        <v>3122456.1046969984</v>
      </c>
      <c r="D194" s="188">
        <f t="shared" si="38"/>
        <v>13010.233769570827</v>
      </c>
      <c r="E194" s="188">
        <f t="shared" si="45"/>
        <v>12354.587917752746</v>
      </c>
      <c r="F194" s="188">
        <f t="shared" si="39"/>
        <v>25364.821687323572</v>
      </c>
      <c r="G194" s="188">
        <f t="shared" si="40"/>
        <v>3110101.5167792458</v>
      </c>
      <c r="H194" s="188">
        <f>G198*J$2/12</f>
        <v>0</v>
      </c>
      <c r="I194" s="188">
        <f t="shared" si="54"/>
        <v>0</v>
      </c>
      <c r="J194" s="188">
        <f t="shared" si="55"/>
        <v>0</v>
      </c>
      <c r="K194" s="188">
        <f t="shared" si="42"/>
        <v>0</v>
      </c>
      <c r="L194" s="188">
        <f t="shared" si="43"/>
        <v>25364.821687323572</v>
      </c>
    </row>
    <row r="195" spans="1:12">
      <c r="A195" s="114">
        <v>16</v>
      </c>
      <c r="B195" s="182">
        <f t="shared" si="44"/>
        <v>189</v>
      </c>
      <c r="C195" s="188">
        <f t="shared" si="41"/>
        <v>3110101.5167792458</v>
      </c>
      <c r="D195" s="188">
        <f t="shared" si="38"/>
        <v>12958.756319913526</v>
      </c>
      <c r="E195" s="188">
        <f t="shared" si="45"/>
        <v>12406.065367410047</v>
      </c>
      <c r="F195" s="188">
        <f t="shared" si="39"/>
        <v>25364.821687323572</v>
      </c>
      <c r="G195" s="188">
        <f t="shared" si="40"/>
        <v>3097695.4514118358</v>
      </c>
      <c r="H195" s="188">
        <f>G198*J$2/12</f>
        <v>0</v>
      </c>
      <c r="I195" s="188">
        <f t="shared" si="54"/>
        <v>0</v>
      </c>
      <c r="J195" s="188">
        <f t="shared" si="55"/>
        <v>0</v>
      </c>
      <c r="K195" s="188">
        <f t="shared" si="42"/>
        <v>0</v>
      </c>
      <c r="L195" s="188">
        <f t="shared" si="43"/>
        <v>25364.821687323572</v>
      </c>
    </row>
    <row r="196" spans="1:12">
      <c r="A196" s="114">
        <v>16</v>
      </c>
      <c r="B196" s="182">
        <f t="shared" si="44"/>
        <v>190</v>
      </c>
      <c r="C196" s="188">
        <f t="shared" si="41"/>
        <v>3097695.4514118358</v>
      </c>
      <c r="D196" s="188">
        <f t="shared" si="38"/>
        <v>12907.06438088265</v>
      </c>
      <c r="E196" s="188">
        <f t="shared" si="45"/>
        <v>12457.757306440923</v>
      </c>
      <c r="F196" s="188">
        <f t="shared" si="39"/>
        <v>25364.821687323572</v>
      </c>
      <c r="G196" s="188">
        <f t="shared" si="40"/>
        <v>3085237.6941053951</v>
      </c>
      <c r="H196" s="188">
        <f>G198*J$2/12</f>
        <v>0</v>
      </c>
      <c r="I196" s="188">
        <f t="shared" si="54"/>
        <v>0</v>
      </c>
      <c r="J196" s="188">
        <f t="shared" si="55"/>
        <v>0</v>
      </c>
      <c r="K196" s="188">
        <f t="shared" si="42"/>
        <v>0</v>
      </c>
      <c r="L196" s="188">
        <f t="shared" si="43"/>
        <v>25364.821687323572</v>
      </c>
    </row>
    <row r="197" spans="1:12">
      <c r="A197" s="114">
        <v>16</v>
      </c>
      <c r="B197" s="182">
        <f t="shared" si="44"/>
        <v>191</v>
      </c>
      <c r="C197" s="188">
        <f t="shared" si="41"/>
        <v>3085237.6941053951</v>
      </c>
      <c r="D197" s="188">
        <f t="shared" si="38"/>
        <v>12855.15705877248</v>
      </c>
      <c r="E197" s="188">
        <f t="shared" si="45"/>
        <v>12509.664628551092</v>
      </c>
      <c r="F197" s="188">
        <f t="shared" si="39"/>
        <v>25364.821687323572</v>
      </c>
      <c r="G197" s="188">
        <f t="shared" si="40"/>
        <v>3072728.0294768442</v>
      </c>
      <c r="H197" s="188">
        <f>G198*J$2/12</f>
        <v>0</v>
      </c>
      <c r="I197" s="188">
        <f t="shared" si="54"/>
        <v>0</v>
      </c>
      <c r="J197" s="188">
        <f t="shared" si="55"/>
        <v>0</v>
      </c>
      <c r="K197" s="188">
        <f t="shared" si="42"/>
        <v>0</v>
      </c>
      <c r="L197" s="188">
        <f t="shared" si="43"/>
        <v>25364.821687323572</v>
      </c>
    </row>
    <row r="198" spans="1:12">
      <c r="A198" s="238">
        <v>16</v>
      </c>
      <c r="B198" s="239">
        <f t="shared" si="44"/>
        <v>192</v>
      </c>
      <c r="C198" s="240">
        <f t="shared" si="41"/>
        <v>3072728.0294768442</v>
      </c>
      <c r="D198" s="240">
        <f t="shared" si="38"/>
        <v>12803.033456153518</v>
      </c>
      <c r="E198" s="240">
        <f t="shared" si="45"/>
        <v>12561.788231170054</v>
      </c>
      <c r="F198" s="240">
        <f t="shared" si="39"/>
        <v>25364.821687323572</v>
      </c>
      <c r="G198" s="240">
        <f t="shared" si="40"/>
        <v>3060166.241245674</v>
      </c>
      <c r="H198" s="240">
        <f>G198*J$2/12</f>
        <v>0</v>
      </c>
      <c r="I198" s="240">
        <f t="shared" si="54"/>
        <v>0</v>
      </c>
      <c r="J198" s="240">
        <f t="shared" si="55"/>
        <v>0</v>
      </c>
      <c r="K198" s="240">
        <f t="shared" si="42"/>
        <v>0</v>
      </c>
      <c r="L198" s="240">
        <f t="shared" si="43"/>
        <v>25364.821687323572</v>
      </c>
    </row>
    <row r="199" spans="1:12">
      <c r="A199" s="114">
        <v>17</v>
      </c>
      <c r="B199" s="182">
        <f t="shared" si="44"/>
        <v>193</v>
      </c>
      <c r="C199" s="188">
        <f t="shared" si="41"/>
        <v>3060166.241245674</v>
      </c>
      <c r="D199" s="188">
        <f t="shared" ref="D199:D262" si="56">(C199*$J$1)/12</f>
        <v>12750.692671856976</v>
      </c>
      <c r="E199" s="188">
        <f t="shared" si="45"/>
        <v>12614.129015466597</v>
      </c>
      <c r="F199" s="188">
        <f t="shared" ref="F199:F262" si="57">PMT($J$1/12,$E$3*12,-$C$7,0)</f>
        <v>25364.821687323572</v>
      </c>
      <c r="G199" s="188">
        <f t="shared" ref="G199:G262" si="58">C199-E199</f>
        <v>3047552.1122302073</v>
      </c>
      <c r="H199" s="188">
        <f>G210*J$2/12</f>
        <v>0</v>
      </c>
      <c r="I199" s="188">
        <f t="shared" ref="I199:I210" si="59">(($C$199*$I$4)/12)</f>
        <v>0</v>
      </c>
      <c r="J199" s="188">
        <f t="shared" ref="J199:J210" si="60">(($C$199*$J$4)/12)</f>
        <v>0</v>
      </c>
      <c r="K199" s="188">
        <f t="shared" si="42"/>
        <v>0</v>
      </c>
      <c r="L199" s="188">
        <f t="shared" si="43"/>
        <v>25364.821687323572</v>
      </c>
    </row>
    <row r="200" spans="1:12">
      <c r="A200" s="114">
        <v>17</v>
      </c>
      <c r="B200" s="182">
        <f t="shared" si="44"/>
        <v>194</v>
      </c>
      <c r="C200" s="188">
        <f t="shared" ref="C200:C263" si="61">G199</f>
        <v>3047552.1122302073</v>
      </c>
      <c r="D200" s="188">
        <f t="shared" si="56"/>
        <v>12698.133800959198</v>
      </c>
      <c r="E200" s="188">
        <f t="shared" si="45"/>
        <v>12666.687886364374</v>
      </c>
      <c r="F200" s="188">
        <f t="shared" si="57"/>
        <v>25364.821687323572</v>
      </c>
      <c r="G200" s="188">
        <f t="shared" si="58"/>
        <v>3034885.424343843</v>
      </c>
      <c r="H200" s="188">
        <f>G210*J$2/12</f>
        <v>0</v>
      </c>
      <c r="I200" s="188">
        <f t="shared" si="59"/>
        <v>0</v>
      </c>
      <c r="J200" s="188">
        <f t="shared" si="60"/>
        <v>0</v>
      </c>
      <c r="K200" s="188">
        <f t="shared" ref="K200:K263" si="62">SUM(I200:J200)</f>
        <v>0</v>
      </c>
      <c r="L200" s="188">
        <f t="shared" ref="L200:L263" si="63">F200+H200+K200</f>
        <v>25364.821687323572</v>
      </c>
    </row>
    <row r="201" spans="1:12">
      <c r="A201" s="114">
        <v>17</v>
      </c>
      <c r="B201" s="182">
        <f t="shared" ref="B201:B264" si="64">B200+1</f>
        <v>195</v>
      </c>
      <c r="C201" s="188">
        <f t="shared" si="61"/>
        <v>3034885.424343843</v>
      </c>
      <c r="D201" s="188">
        <f t="shared" si="56"/>
        <v>12645.355934766012</v>
      </c>
      <c r="E201" s="188">
        <f t="shared" ref="E201:E264" si="65">(F201-D201)</f>
        <v>12719.46575255756</v>
      </c>
      <c r="F201" s="188">
        <f t="shared" si="57"/>
        <v>25364.821687323572</v>
      </c>
      <c r="G201" s="188">
        <f t="shared" si="58"/>
        <v>3022165.9585912856</v>
      </c>
      <c r="H201" s="188">
        <f>G210*J$2/12</f>
        <v>0</v>
      </c>
      <c r="I201" s="188">
        <f t="shared" si="59"/>
        <v>0</v>
      </c>
      <c r="J201" s="188">
        <f t="shared" si="60"/>
        <v>0</v>
      </c>
      <c r="K201" s="188">
        <f t="shared" si="62"/>
        <v>0</v>
      </c>
      <c r="L201" s="188">
        <f t="shared" si="63"/>
        <v>25364.821687323572</v>
      </c>
    </row>
    <row r="202" spans="1:12">
      <c r="A202" s="114">
        <v>17</v>
      </c>
      <c r="B202" s="182">
        <f t="shared" si="64"/>
        <v>196</v>
      </c>
      <c r="C202" s="188">
        <f t="shared" si="61"/>
        <v>3022165.9585912856</v>
      </c>
      <c r="D202" s="188">
        <f t="shared" si="56"/>
        <v>12592.358160797025</v>
      </c>
      <c r="E202" s="188">
        <f t="shared" si="65"/>
        <v>12772.463526526548</v>
      </c>
      <c r="F202" s="188">
        <f t="shared" si="57"/>
        <v>25364.821687323572</v>
      </c>
      <c r="G202" s="188">
        <f t="shared" si="58"/>
        <v>3009393.4950647592</v>
      </c>
      <c r="H202" s="188">
        <f>G210*J$2/12</f>
        <v>0</v>
      </c>
      <c r="I202" s="188">
        <f t="shared" si="59"/>
        <v>0</v>
      </c>
      <c r="J202" s="188">
        <f t="shared" si="60"/>
        <v>0</v>
      </c>
      <c r="K202" s="188">
        <f t="shared" si="62"/>
        <v>0</v>
      </c>
      <c r="L202" s="188">
        <f t="shared" si="63"/>
        <v>25364.821687323572</v>
      </c>
    </row>
    <row r="203" spans="1:12">
      <c r="A203" s="114">
        <v>17</v>
      </c>
      <c r="B203" s="182">
        <f t="shared" si="64"/>
        <v>197</v>
      </c>
      <c r="C203" s="188">
        <f t="shared" si="61"/>
        <v>3009393.4950647592</v>
      </c>
      <c r="D203" s="188">
        <f t="shared" si="56"/>
        <v>12539.139562769829</v>
      </c>
      <c r="E203" s="188">
        <f t="shared" si="65"/>
        <v>12825.682124553743</v>
      </c>
      <c r="F203" s="188">
        <f t="shared" si="57"/>
        <v>25364.821687323572</v>
      </c>
      <c r="G203" s="188">
        <f t="shared" si="58"/>
        <v>2996567.8129402054</v>
      </c>
      <c r="H203" s="188">
        <f>G210*J$2/12</f>
        <v>0</v>
      </c>
      <c r="I203" s="188">
        <f t="shared" si="59"/>
        <v>0</v>
      </c>
      <c r="J203" s="188">
        <f t="shared" si="60"/>
        <v>0</v>
      </c>
      <c r="K203" s="188">
        <f t="shared" si="62"/>
        <v>0</v>
      </c>
      <c r="L203" s="188">
        <f t="shared" si="63"/>
        <v>25364.821687323572</v>
      </c>
    </row>
    <row r="204" spans="1:12">
      <c r="A204" s="114">
        <v>17</v>
      </c>
      <c r="B204" s="182">
        <f t="shared" si="64"/>
        <v>198</v>
      </c>
      <c r="C204" s="188">
        <f t="shared" si="61"/>
        <v>2996567.8129402054</v>
      </c>
      <c r="D204" s="188">
        <f t="shared" si="56"/>
        <v>12485.699220584189</v>
      </c>
      <c r="E204" s="188">
        <f t="shared" si="65"/>
        <v>12879.122466739384</v>
      </c>
      <c r="F204" s="188">
        <f t="shared" si="57"/>
        <v>25364.821687323572</v>
      </c>
      <c r="G204" s="188">
        <f t="shared" si="58"/>
        <v>2983688.6904734662</v>
      </c>
      <c r="H204" s="188">
        <f>G210*J$2/12</f>
        <v>0</v>
      </c>
      <c r="I204" s="188">
        <f t="shared" si="59"/>
        <v>0</v>
      </c>
      <c r="J204" s="188">
        <f t="shared" si="60"/>
        <v>0</v>
      </c>
      <c r="K204" s="188">
        <f t="shared" si="62"/>
        <v>0</v>
      </c>
      <c r="L204" s="188">
        <f t="shared" si="63"/>
        <v>25364.821687323572</v>
      </c>
    </row>
    <row r="205" spans="1:12">
      <c r="A205" s="114">
        <v>17</v>
      </c>
      <c r="B205" s="182">
        <f t="shared" si="64"/>
        <v>199</v>
      </c>
      <c r="C205" s="188">
        <f t="shared" si="61"/>
        <v>2983688.6904734662</v>
      </c>
      <c r="D205" s="188">
        <f t="shared" si="56"/>
        <v>12432.036210306111</v>
      </c>
      <c r="E205" s="188">
        <f t="shared" si="65"/>
        <v>12932.785477017462</v>
      </c>
      <c r="F205" s="188">
        <f t="shared" si="57"/>
        <v>25364.821687323572</v>
      </c>
      <c r="G205" s="188">
        <f t="shared" si="58"/>
        <v>2970755.9049964487</v>
      </c>
      <c r="H205" s="188">
        <f>G210*J$2/12</f>
        <v>0</v>
      </c>
      <c r="I205" s="188">
        <f t="shared" si="59"/>
        <v>0</v>
      </c>
      <c r="J205" s="188">
        <f t="shared" si="60"/>
        <v>0</v>
      </c>
      <c r="K205" s="188">
        <f t="shared" si="62"/>
        <v>0</v>
      </c>
      <c r="L205" s="188">
        <f t="shared" si="63"/>
        <v>25364.821687323572</v>
      </c>
    </row>
    <row r="206" spans="1:12">
      <c r="A206" s="114">
        <v>17</v>
      </c>
      <c r="B206" s="182">
        <f t="shared" si="64"/>
        <v>200</v>
      </c>
      <c r="C206" s="188">
        <f t="shared" si="61"/>
        <v>2970755.9049964487</v>
      </c>
      <c r="D206" s="188">
        <f t="shared" si="56"/>
        <v>12378.149604151869</v>
      </c>
      <c r="E206" s="188">
        <f t="shared" si="65"/>
        <v>12986.672083171703</v>
      </c>
      <c r="F206" s="188">
        <f t="shared" si="57"/>
        <v>25364.821687323572</v>
      </c>
      <c r="G206" s="188">
        <f t="shared" si="58"/>
        <v>2957769.2329132771</v>
      </c>
      <c r="H206" s="188">
        <f>G210*J$2/12</f>
        <v>0</v>
      </c>
      <c r="I206" s="188">
        <f t="shared" si="59"/>
        <v>0</v>
      </c>
      <c r="J206" s="188">
        <f t="shared" si="60"/>
        <v>0</v>
      </c>
      <c r="K206" s="188">
        <f t="shared" si="62"/>
        <v>0</v>
      </c>
      <c r="L206" s="188">
        <f t="shared" si="63"/>
        <v>25364.821687323572</v>
      </c>
    </row>
    <row r="207" spans="1:12">
      <c r="A207" s="114">
        <v>17</v>
      </c>
      <c r="B207" s="182">
        <f t="shared" si="64"/>
        <v>201</v>
      </c>
      <c r="C207" s="188">
        <f t="shared" si="61"/>
        <v>2957769.2329132771</v>
      </c>
      <c r="D207" s="188">
        <f t="shared" si="56"/>
        <v>12324.038470471989</v>
      </c>
      <c r="E207" s="188">
        <f t="shared" si="65"/>
        <v>13040.783216851583</v>
      </c>
      <c r="F207" s="188">
        <f t="shared" si="57"/>
        <v>25364.821687323572</v>
      </c>
      <c r="G207" s="188">
        <f t="shared" si="58"/>
        <v>2944728.4496964253</v>
      </c>
      <c r="H207" s="188">
        <f>G210*J$2/12</f>
        <v>0</v>
      </c>
      <c r="I207" s="188">
        <f t="shared" si="59"/>
        <v>0</v>
      </c>
      <c r="J207" s="188">
        <f t="shared" si="60"/>
        <v>0</v>
      </c>
      <c r="K207" s="188">
        <f t="shared" si="62"/>
        <v>0</v>
      </c>
      <c r="L207" s="188">
        <f t="shared" si="63"/>
        <v>25364.821687323572</v>
      </c>
    </row>
    <row r="208" spans="1:12">
      <c r="A208" s="114">
        <v>17</v>
      </c>
      <c r="B208" s="182">
        <f t="shared" si="64"/>
        <v>202</v>
      </c>
      <c r="C208" s="188">
        <f t="shared" si="61"/>
        <v>2944728.4496964253</v>
      </c>
      <c r="D208" s="188">
        <f t="shared" si="56"/>
        <v>12269.701873735105</v>
      </c>
      <c r="E208" s="188">
        <f t="shared" si="65"/>
        <v>13095.119813588468</v>
      </c>
      <c r="F208" s="188">
        <f t="shared" si="57"/>
        <v>25364.821687323572</v>
      </c>
      <c r="G208" s="188">
        <f t="shared" si="58"/>
        <v>2931633.3298828369</v>
      </c>
      <c r="H208" s="188">
        <f>G210*J$2/12</f>
        <v>0</v>
      </c>
      <c r="I208" s="188">
        <f t="shared" si="59"/>
        <v>0</v>
      </c>
      <c r="J208" s="188">
        <f t="shared" si="60"/>
        <v>0</v>
      </c>
      <c r="K208" s="188">
        <f t="shared" si="62"/>
        <v>0</v>
      </c>
      <c r="L208" s="188">
        <f t="shared" si="63"/>
        <v>25364.821687323572</v>
      </c>
    </row>
    <row r="209" spans="1:12">
      <c r="A209" s="114">
        <v>17</v>
      </c>
      <c r="B209" s="182">
        <f t="shared" si="64"/>
        <v>203</v>
      </c>
      <c r="C209" s="188">
        <f t="shared" si="61"/>
        <v>2931633.3298828369</v>
      </c>
      <c r="D209" s="188">
        <f t="shared" si="56"/>
        <v>12215.138874511822</v>
      </c>
      <c r="E209" s="188">
        <f t="shared" si="65"/>
        <v>13149.68281281175</v>
      </c>
      <c r="F209" s="188">
        <f t="shared" si="57"/>
        <v>25364.821687323572</v>
      </c>
      <c r="G209" s="188">
        <f t="shared" si="58"/>
        <v>2918483.6470700251</v>
      </c>
      <c r="H209" s="188">
        <f>G210*J$2/12</f>
        <v>0</v>
      </c>
      <c r="I209" s="188">
        <f t="shared" si="59"/>
        <v>0</v>
      </c>
      <c r="J209" s="188">
        <f t="shared" si="60"/>
        <v>0</v>
      </c>
      <c r="K209" s="188">
        <f t="shared" si="62"/>
        <v>0</v>
      </c>
      <c r="L209" s="188">
        <f t="shared" si="63"/>
        <v>25364.821687323572</v>
      </c>
    </row>
    <row r="210" spans="1:12">
      <c r="A210" s="238">
        <v>17</v>
      </c>
      <c r="B210" s="239">
        <f t="shared" si="64"/>
        <v>204</v>
      </c>
      <c r="C210" s="240">
        <f t="shared" si="61"/>
        <v>2918483.6470700251</v>
      </c>
      <c r="D210" s="240">
        <f t="shared" si="56"/>
        <v>12160.348529458439</v>
      </c>
      <c r="E210" s="240">
        <f t="shared" si="65"/>
        <v>13204.473157865134</v>
      </c>
      <c r="F210" s="240">
        <f t="shared" si="57"/>
        <v>25364.821687323572</v>
      </c>
      <c r="G210" s="240">
        <f t="shared" si="58"/>
        <v>2905279.1739121601</v>
      </c>
      <c r="H210" s="240">
        <f>G210*J$2/12</f>
        <v>0</v>
      </c>
      <c r="I210" s="240">
        <f t="shared" si="59"/>
        <v>0</v>
      </c>
      <c r="J210" s="240">
        <f t="shared" si="60"/>
        <v>0</v>
      </c>
      <c r="K210" s="240">
        <f t="shared" si="62"/>
        <v>0</v>
      </c>
      <c r="L210" s="240">
        <f t="shared" si="63"/>
        <v>25364.821687323572</v>
      </c>
    </row>
    <row r="211" spans="1:12">
      <c r="A211" s="114">
        <v>18</v>
      </c>
      <c r="B211" s="182">
        <f t="shared" si="64"/>
        <v>205</v>
      </c>
      <c r="C211" s="188">
        <f t="shared" si="61"/>
        <v>2905279.1739121601</v>
      </c>
      <c r="D211" s="188">
        <f t="shared" si="56"/>
        <v>12105.329891300667</v>
      </c>
      <c r="E211" s="188">
        <f t="shared" si="65"/>
        <v>13259.491796022905</v>
      </c>
      <c r="F211" s="188">
        <f t="shared" si="57"/>
        <v>25364.821687323572</v>
      </c>
      <c r="G211" s="188">
        <f t="shared" si="58"/>
        <v>2892019.6821161374</v>
      </c>
      <c r="H211" s="188">
        <f>G222*J$2/12</f>
        <v>0</v>
      </c>
      <c r="I211" s="188">
        <f t="shared" ref="I211:I222" si="66">(($C$211*$I$4)/12)</f>
        <v>0</v>
      </c>
      <c r="J211" s="188">
        <f t="shared" ref="J211:J222" si="67">(($C$211*$J$4)/12)</f>
        <v>0</v>
      </c>
      <c r="K211" s="188">
        <f t="shared" si="62"/>
        <v>0</v>
      </c>
      <c r="L211" s="188">
        <f t="shared" si="63"/>
        <v>25364.821687323572</v>
      </c>
    </row>
    <row r="212" spans="1:12">
      <c r="A212" s="114">
        <v>18</v>
      </c>
      <c r="B212" s="182">
        <f t="shared" si="64"/>
        <v>206</v>
      </c>
      <c r="C212" s="188">
        <f t="shared" si="61"/>
        <v>2892019.6821161374</v>
      </c>
      <c r="D212" s="188">
        <f t="shared" si="56"/>
        <v>12050.08200881724</v>
      </c>
      <c r="E212" s="188">
        <f t="shared" si="65"/>
        <v>13314.739678506332</v>
      </c>
      <c r="F212" s="188">
        <f t="shared" si="57"/>
        <v>25364.821687323572</v>
      </c>
      <c r="G212" s="188">
        <f t="shared" si="58"/>
        <v>2878704.9424376311</v>
      </c>
      <c r="H212" s="188">
        <f>G222*J$2/12</f>
        <v>0</v>
      </c>
      <c r="I212" s="188">
        <f t="shared" si="66"/>
        <v>0</v>
      </c>
      <c r="J212" s="188">
        <f t="shared" si="67"/>
        <v>0</v>
      </c>
      <c r="K212" s="188">
        <f t="shared" si="62"/>
        <v>0</v>
      </c>
      <c r="L212" s="188">
        <f t="shared" si="63"/>
        <v>25364.821687323572</v>
      </c>
    </row>
    <row r="213" spans="1:12">
      <c r="A213" s="114">
        <v>18</v>
      </c>
      <c r="B213" s="182">
        <f t="shared" si="64"/>
        <v>207</v>
      </c>
      <c r="C213" s="188">
        <f t="shared" si="61"/>
        <v>2878704.9424376311</v>
      </c>
      <c r="D213" s="188">
        <f t="shared" si="56"/>
        <v>11994.603926823462</v>
      </c>
      <c r="E213" s="188">
        <f t="shared" si="65"/>
        <v>13370.217760500111</v>
      </c>
      <c r="F213" s="188">
        <f t="shared" si="57"/>
        <v>25364.821687323572</v>
      </c>
      <c r="G213" s="188">
        <f t="shared" si="58"/>
        <v>2865334.724677131</v>
      </c>
      <c r="H213" s="188">
        <f>G222*J$2/12</f>
        <v>0</v>
      </c>
      <c r="I213" s="188">
        <f t="shared" si="66"/>
        <v>0</v>
      </c>
      <c r="J213" s="188">
        <f t="shared" si="67"/>
        <v>0</v>
      </c>
      <c r="K213" s="188">
        <f t="shared" si="62"/>
        <v>0</v>
      </c>
      <c r="L213" s="188">
        <f t="shared" si="63"/>
        <v>25364.821687323572</v>
      </c>
    </row>
    <row r="214" spans="1:12">
      <c r="A214" s="114">
        <v>18</v>
      </c>
      <c r="B214" s="182">
        <f t="shared" si="64"/>
        <v>208</v>
      </c>
      <c r="C214" s="188">
        <f t="shared" si="61"/>
        <v>2865334.724677131</v>
      </c>
      <c r="D214" s="188">
        <f t="shared" si="56"/>
        <v>11938.894686154714</v>
      </c>
      <c r="E214" s="188">
        <f t="shared" si="65"/>
        <v>13425.927001168859</v>
      </c>
      <c r="F214" s="188">
        <f t="shared" si="57"/>
        <v>25364.821687323572</v>
      </c>
      <c r="G214" s="188">
        <f t="shared" si="58"/>
        <v>2851908.7976759621</v>
      </c>
      <c r="H214" s="188">
        <f>G222*J$2/12</f>
        <v>0</v>
      </c>
      <c r="I214" s="188">
        <f t="shared" si="66"/>
        <v>0</v>
      </c>
      <c r="J214" s="188">
        <f t="shared" si="67"/>
        <v>0</v>
      </c>
      <c r="K214" s="188">
        <f t="shared" si="62"/>
        <v>0</v>
      </c>
      <c r="L214" s="188">
        <f t="shared" si="63"/>
        <v>25364.821687323572</v>
      </c>
    </row>
    <row r="215" spans="1:12">
      <c r="A215" s="114">
        <v>18</v>
      </c>
      <c r="B215" s="182">
        <f t="shared" si="64"/>
        <v>209</v>
      </c>
      <c r="C215" s="188">
        <f t="shared" si="61"/>
        <v>2851908.7976759621</v>
      </c>
      <c r="D215" s="188">
        <f t="shared" si="56"/>
        <v>11882.953323649841</v>
      </c>
      <c r="E215" s="188">
        <f t="shared" si="65"/>
        <v>13481.868363673731</v>
      </c>
      <c r="F215" s="188">
        <f t="shared" si="57"/>
        <v>25364.821687323572</v>
      </c>
      <c r="G215" s="188">
        <f t="shared" si="58"/>
        <v>2838426.9293122883</v>
      </c>
      <c r="H215" s="188">
        <f>G222*J$2/12</f>
        <v>0</v>
      </c>
      <c r="I215" s="188">
        <f t="shared" si="66"/>
        <v>0</v>
      </c>
      <c r="J215" s="188">
        <f t="shared" si="67"/>
        <v>0</v>
      </c>
      <c r="K215" s="188">
        <f t="shared" si="62"/>
        <v>0</v>
      </c>
      <c r="L215" s="188">
        <f t="shared" si="63"/>
        <v>25364.821687323572</v>
      </c>
    </row>
    <row r="216" spans="1:12">
      <c r="A216" s="114">
        <v>18</v>
      </c>
      <c r="B216" s="182">
        <f t="shared" si="64"/>
        <v>210</v>
      </c>
      <c r="C216" s="188">
        <f t="shared" si="61"/>
        <v>2838426.9293122883</v>
      </c>
      <c r="D216" s="188">
        <f t="shared" si="56"/>
        <v>11826.778872134535</v>
      </c>
      <c r="E216" s="188">
        <f t="shared" si="65"/>
        <v>13538.042815189037</v>
      </c>
      <c r="F216" s="188">
        <f t="shared" si="57"/>
        <v>25364.821687323572</v>
      </c>
      <c r="G216" s="188">
        <f t="shared" si="58"/>
        <v>2824888.8864970994</v>
      </c>
      <c r="H216" s="188">
        <f>G222*J$2/12</f>
        <v>0</v>
      </c>
      <c r="I216" s="188">
        <f t="shared" si="66"/>
        <v>0</v>
      </c>
      <c r="J216" s="188">
        <f t="shared" si="67"/>
        <v>0</v>
      </c>
      <c r="K216" s="188">
        <f t="shared" si="62"/>
        <v>0</v>
      </c>
      <c r="L216" s="188">
        <f t="shared" si="63"/>
        <v>25364.821687323572</v>
      </c>
    </row>
    <row r="217" spans="1:12">
      <c r="A217" s="114">
        <v>18</v>
      </c>
      <c r="B217" s="182">
        <f t="shared" si="64"/>
        <v>211</v>
      </c>
      <c r="C217" s="188">
        <f t="shared" si="61"/>
        <v>2824888.8864970994</v>
      </c>
      <c r="D217" s="188">
        <f t="shared" si="56"/>
        <v>11770.37036040458</v>
      </c>
      <c r="E217" s="188">
        <f t="shared" si="65"/>
        <v>13594.451326918992</v>
      </c>
      <c r="F217" s="188">
        <f t="shared" si="57"/>
        <v>25364.821687323572</v>
      </c>
      <c r="G217" s="188">
        <f t="shared" si="58"/>
        <v>2811294.4351701806</v>
      </c>
      <c r="H217" s="188">
        <f>G222*J$2/12</f>
        <v>0</v>
      </c>
      <c r="I217" s="188">
        <f t="shared" si="66"/>
        <v>0</v>
      </c>
      <c r="J217" s="188">
        <f t="shared" si="67"/>
        <v>0</v>
      </c>
      <c r="K217" s="188">
        <f t="shared" si="62"/>
        <v>0</v>
      </c>
      <c r="L217" s="188">
        <f t="shared" si="63"/>
        <v>25364.821687323572</v>
      </c>
    </row>
    <row r="218" spans="1:12">
      <c r="A218" s="114">
        <v>18</v>
      </c>
      <c r="B218" s="182">
        <f t="shared" si="64"/>
        <v>212</v>
      </c>
      <c r="C218" s="188">
        <f t="shared" si="61"/>
        <v>2811294.4351701806</v>
      </c>
      <c r="D218" s="188">
        <f t="shared" si="56"/>
        <v>11713.726813209085</v>
      </c>
      <c r="E218" s="188">
        <f t="shared" si="65"/>
        <v>13651.094874114488</v>
      </c>
      <c r="F218" s="188">
        <f t="shared" si="57"/>
        <v>25364.821687323572</v>
      </c>
      <c r="G218" s="188">
        <f t="shared" si="58"/>
        <v>2797643.3402960664</v>
      </c>
      <c r="H218" s="188">
        <f>G222*J$2/12</f>
        <v>0</v>
      </c>
      <c r="I218" s="188">
        <f t="shared" si="66"/>
        <v>0</v>
      </c>
      <c r="J218" s="188">
        <f t="shared" si="67"/>
        <v>0</v>
      </c>
      <c r="K218" s="188">
        <f t="shared" si="62"/>
        <v>0</v>
      </c>
      <c r="L218" s="188">
        <f t="shared" si="63"/>
        <v>25364.821687323572</v>
      </c>
    </row>
    <row r="219" spans="1:12">
      <c r="A219" s="114">
        <v>18</v>
      </c>
      <c r="B219" s="182">
        <f t="shared" si="64"/>
        <v>213</v>
      </c>
      <c r="C219" s="188">
        <f t="shared" si="61"/>
        <v>2797643.3402960664</v>
      </c>
      <c r="D219" s="188">
        <f t="shared" si="56"/>
        <v>11656.84725123361</v>
      </c>
      <c r="E219" s="188">
        <f t="shared" si="65"/>
        <v>13707.974436089962</v>
      </c>
      <c r="F219" s="188">
        <f t="shared" si="57"/>
        <v>25364.821687323572</v>
      </c>
      <c r="G219" s="188">
        <f t="shared" si="58"/>
        <v>2783935.3658599765</v>
      </c>
      <c r="H219" s="188">
        <f>G222*J$2/12</f>
        <v>0</v>
      </c>
      <c r="I219" s="188">
        <f t="shared" si="66"/>
        <v>0</v>
      </c>
      <c r="J219" s="188">
        <f t="shared" si="67"/>
        <v>0</v>
      </c>
      <c r="K219" s="188">
        <f t="shared" si="62"/>
        <v>0</v>
      </c>
      <c r="L219" s="188">
        <f t="shared" si="63"/>
        <v>25364.821687323572</v>
      </c>
    </row>
    <row r="220" spans="1:12">
      <c r="A220" s="114">
        <v>18</v>
      </c>
      <c r="B220" s="182">
        <f t="shared" si="64"/>
        <v>214</v>
      </c>
      <c r="C220" s="188">
        <f t="shared" si="61"/>
        <v>2783935.3658599765</v>
      </c>
      <c r="D220" s="188">
        <f t="shared" si="56"/>
        <v>11599.730691083236</v>
      </c>
      <c r="E220" s="188">
        <f t="shared" si="65"/>
        <v>13765.090996240337</v>
      </c>
      <c r="F220" s="188">
        <f t="shared" si="57"/>
        <v>25364.821687323572</v>
      </c>
      <c r="G220" s="188">
        <f t="shared" si="58"/>
        <v>2770170.2748637362</v>
      </c>
      <c r="H220" s="188">
        <f>G222*J$2/12</f>
        <v>0</v>
      </c>
      <c r="I220" s="188">
        <f t="shared" si="66"/>
        <v>0</v>
      </c>
      <c r="J220" s="188">
        <f t="shared" si="67"/>
        <v>0</v>
      </c>
      <c r="K220" s="188">
        <f t="shared" si="62"/>
        <v>0</v>
      </c>
      <c r="L220" s="188">
        <f t="shared" si="63"/>
        <v>25364.821687323572</v>
      </c>
    </row>
    <row r="221" spans="1:12">
      <c r="A221" s="114">
        <v>18</v>
      </c>
      <c r="B221" s="182">
        <f t="shared" si="64"/>
        <v>215</v>
      </c>
      <c r="C221" s="188">
        <f t="shared" si="61"/>
        <v>2770170.2748637362</v>
      </c>
      <c r="D221" s="188">
        <f t="shared" si="56"/>
        <v>11542.376145265567</v>
      </c>
      <c r="E221" s="188">
        <f t="shared" si="65"/>
        <v>13822.445542058005</v>
      </c>
      <c r="F221" s="188">
        <f t="shared" si="57"/>
        <v>25364.821687323572</v>
      </c>
      <c r="G221" s="188">
        <f t="shared" si="58"/>
        <v>2756347.8293216783</v>
      </c>
      <c r="H221" s="188">
        <f>G222*J$2/12</f>
        <v>0</v>
      </c>
      <c r="I221" s="188">
        <f t="shared" si="66"/>
        <v>0</v>
      </c>
      <c r="J221" s="188">
        <f t="shared" si="67"/>
        <v>0</v>
      </c>
      <c r="K221" s="188">
        <f t="shared" si="62"/>
        <v>0</v>
      </c>
      <c r="L221" s="188">
        <f t="shared" si="63"/>
        <v>25364.821687323572</v>
      </c>
    </row>
    <row r="222" spans="1:12">
      <c r="A222" s="238">
        <v>18</v>
      </c>
      <c r="B222" s="239">
        <f t="shared" si="64"/>
        <v>216</v>
      </c>
      <c r="C222" s="240">
        <f t="shared" si="61"/>
        <v>2756347.8293216783</v>
      </c>
      <c r="D222" s="240">
        <f t="shared" si="56"/>
        <v>11484.78262217366</v>
      </c>
      <c r="E222" s="240">
        <f t="shared" si="65"/>
        <v>13880.039065149913</v>
      </c>
      <c r="F222" s="240">
        <f t="shared" si="57"/>
        <v>25364.821687323572</v>
      </c>
      <c r="G222" s="240">
        <f t="shared" si="58"/>
        <v>2742467.7902565282</v>
      </c>
      <c r="H222" s="240">
        <f>G222*J$2/12</f>
        <v>0</v>
      </c>
      <c r="I222" s="240">
        <f t="shared" si="66"/>
        <v>0</v>
      </c>
      <c r="J222" s="240">
        <f t="shared" si="67"/>
        <v>0</v>
      </c>
      <c r="K222" s="240">
        <f t="shared" si="62"/>
        <v>0</v>
      </c>
      <c r="L222" s="240">
        <f t="shared" si="63"/>
        <v>25364.821687323572</v>
      </c>
    </row>
    <row r="223" spans="1:12">
      <c r="A223" s="114">
        <v>19</v>
      </c>
      <c r="B223" s="182">
        <f t="shared" si="64"/>
        <v>217</v>
      </c>
      <c r="C223" s="188">
        <f t="shared" si="61"/>
        <v>2742467.7902565282</v>
      </c>
      <c r="D223" s="188">
        <f t="shared" si="56"/>
        <v>11426.949126068868</v>
      </c>
      <c r="E223" s="188">
        <f t="shared" si="65"/>
        <v>13937.872561254704</v>
      </c>
      <c r="F223" s="188">
        <f t="shared" si="57"/>
        <v>25364.821687323572</v>
      </c>
      <c r="G223" s="188">
        <f t="shared" si="58"/>
        <v>2728529.9176952736</v>
      </c>
      <c r="H223" s="188">
        <f>G234*J$2/12</f>
        <v>0</v>
      </c>
      <c r="I223" s="188">
        <f t="shared" ref="I223:I234" si="68">(($C$223*$I$4)/12)</f>
        <v>0</v>
      </c>
      <c r="J223" s="188">
        <f t="shared" ref="J223:J234" si="69">(($C$223*$J$4)/12)</f>
        <v>0</v>
      </c>
      <c r="K223" s="188">
        <f t="shared" si="62"/>
        <v>0</v>
      </c>
      <c r="L223" s="188">
        <f t="shared" si="63"/>
        <v>25364.821687323572</v>
      </c>
    </row>
    <row r="224" spans="1:12">
      <c r="A224" s="114">
        <v>19</v>
      </c>
      <c r="B224" s="182">
        <f t="shared" si="64"/>
        <v>218</v>
      </c>
      <c r="C224" s="188">
        <f t="shared" si="61"/>
        <v>2728529.9176952736</v>
      </c>
      <c r="D224" s="188">
        <f t="shared" si="56"/>
        <v>11368.874657063641</v>
      </c>
      <c r="E224" s="188">
        <f t="shared" si="65"/>
        <v>13995.947030259931</v>
      </c>
      <c r="F224" s="188">
        <f t="shared" si="57"/>
        <v>25364.821687323572</v>
      </c>
      <c r="G224" s="188">
        <f t="shared" si="58"/>
        <v>2714533.9706650139</v>
      </c>
      <c r="H224" s="188">
        <f>G234*J$2/12</f>
        <v>0</v>
      </c>
      <c r="I224" s="188">
        <f t="shared" si="68"/>
        <v>0</v>
      </c>
      <c r="J224" s="188">
        <f t="shared" si="69"/>
        <v>0</v>
      </c>
      <c r="K224" s="188">
        <f t="shared" si="62"/>
        <v>0</v>
      </c>
      <c r="L224" s="188">
        <f t="shared" si="63"/>
        <v>25364.821687323572</v>
      </c>
    </row>
    <row r="225" spans="1:12">
      <c r="A225" s="114">
        <v>19</v>
      </c>
      <c r="B225" s="182">
        <f t="shared" si="64"/>
        <v>219</v>
      </c>
      <c r="C225" s="188">
        <f t="shared" si="61"/>
        <v>2714533.9706650139</v>
      </c>
      <c r="D225" s="188">
        <f t="shared" si="56"/>
        <v>11310.558211104224</v>
      </c>
      <c r="E225" s="188">
        <f t="shared" si="65"/>
        <v>14054.263476219348</v>
      </c>
      <c r="F225" s="188">
        <f t="shared" si="57"/>
        <v>25364.821687323572</v>
      </c>
      <c r="G225" s="188">
        <f t="shared" si="58"/>
        <v>2700479.7071887944</v>
      </c>
      <c r="H225" s="188">
        <f>G234*J$2/12</f>
        <v>0</v>
      </c>
      <c r="I225" s="188">
        <f t="shared" si="68"/>
        <v>0</v>
      </c>
      <c r="J225" s="188">
        <f t="shared" si="69"/>
        <v>0</v>
      </c>
      <c r="K225" s="188">
        <f t="shared" si="62"/>
        <v>0</v>
      </c>
      <c r="L225" s="188">
        <f t="shared" si="63"/>
        <v>25364.821687323572</v>
      </c>
    </row>
    <row r="226" spans="1:12">
      <c r="A226" s="114">
        <v>19</v>
      </c>
      <c r="B226" s="182">
        <f t="shared" si="64"/>
        <v>220</v>
      </c>
      <c r="C226" s="188">
        <f t="shared" si="61"/>
        <v>2700479.7071887944</v>
      </c>
      <c r="D226" s="188">
        <f t="shared" si="56"/>
        <v>11251.99877995331</v>
      </c>
      <c r="E226" s="188">
        <f t="shared" si="65"/>
        <v>14112.822907370262</v>
      </c>
      <c r="F226" s="188">
        <f t="shared" si="57"/>
        <v>25364.821687323572</v>
      </c>
      <c r="G226" s="188">
        <f t="shared" si="58"/>
        <v>2686366.8842814243</v>
      </c>
      <c r="H226" s="188">
        <f>G234*J$2/12</f>
        <v>0</v>
      </c>
      <c r="I226" s="188">
        <f t="shared" si="68"/>
        <v>0</v>
      </c>
      <c r="J226" s="188">
        <f t="shared" si="69"/>
        <v>0</v>
      </c>
      <c r="K226" s="188">
        <f t="shared" si="62"/>
        <v>0</v>
      </c>
      <c r="L226" s="188">
        <f t="shared" si="63"/>
        <v>25364.821687323572</v>
      </c>
    </row>
    <row r="227" spans="1:12">
      <c r="A227" s="114">
        <v>19</v>
      </c>
      <c r="B227" s="182">
        <f t="shared" si="64"/>
        <v>221</v>
      </c>
      <c r="C227" s="188">
        <f t="shared" si="61"/>
        <v>2686366.8842814243</v>
      </c>
      <c r="D227" s="188">
        <f t="shared" si="56"/>
        <v>11193.195351172602</v>
      </c>
      <c r="E227" s="188">
        <f t="shared" si="65"/>
        <v>14171.62633615097</v>
      </c>
      <c r="F227" s="188">
        <f t="shared" si="57"/>
        <v>25364.821687323572</v>
      </c>
      <c r="G227" s="188">
        <f t="shared" si="58"/>
        <v>2672195.2579452735</v>
      </c>
      <c r="H227" s="188">
        <f>G234*J$2/12</f>
        <v>0</v>
      </c>
      <c r="I227" s="188">
        <f t="shared" si="68"/>
        <v>0</v>
      </c>
      <c r="J227" s="188">
        <f t="shared" si="69"/>
        <v>0</v>
      </c>
      <c r="K227" s="188">
        <f t="shared" si="62"/>
        <v>0</v>
      </c>
      <c r="L227" s="188">
        <f t="shared" si="63"/>
        <v>25364.821687323572</v>
      </c>
    </row>
    <row r="228" spans="1:12">
      <c r="A228" s="114">
        <v>19</v>
      </c>
      <c r="B228" s="182">
        <f t="shared" si="64"/>
        <v>222</v>
      </c>
      <c r="C228" s="188">
        <f t="shared" si="61"/>
        <v>2672195.2579452735</v>
      </c>
      <c r="D228" s="188">
        <f t="shared" si="56"/>
        <v>11134.146908105307</v>
      </c>
      <c r="E228" s="188">
        <f t="shared" si="65"/>
        <v>14230.674779218265</v>
      </c>
      <c r="F228" s="188">
        <f t="shared" si="57"/>
        <v>25364.821687323572</v>
      </c>
      <c r="G228" s="188">
        <f t="shared" si="58"/>
        <v>2657964.5831660554</v>
      </c>
      <c r="H228" s="188">
        <f>G234*J$2/12</f>
        <v>0</v>
      </c>
      <c r="I228" s="188">
        <f t="shared" si="68"/>
        <v>0</v>
      </c>
      <c r="J228" s="188">
        <f t="shared" si="69"/>
        <v>0</v>
      </c>
      <c r="K228" s="188">
        <f t="shared" si="62"/>
        <v>0</v>
      </c>
      <c r="L228" s="188">
        <f t="shared" si="63"/>
        <v>25364.821687323572</v>
      </c>
    </row>
    <row r="229" spans="1:12">
      <c r="A229" s="114">
        <v>19</v>
      </c>
      <c r="B229" s="182">
        <f t="shared" si="64"/>
        <v>223</v>
      </c>
      <c r="C229" s="188">
        <f t="shared" si="61"/>
        <v>2657964.5831660554</v>
      </c>
      <c r="D229" s="188">
        <f t="shared" si="56"/>
        <v>11074.852429858563</v>
      </c>
      <c r="E229" s="188">
        <f t="shared" si="65"/>
        <v>14289.969257465009</v>
      </c>
      <c r="F229" s="188">
        <f t="shared" si="57"/>
        <v>25364.821687323572</v>
      </c>
      <c r="G229" s="188">
        <f t="shared" si="58"/>
        <v>2643674.6139085903</v>
      </c>
      <c r="H229" s="188">
        <f>G234*J$2/12</f>
        <v>0</v>
      </c>
      <c r="I229" s="188">
        <f t="shared" si="68"/>
        <v>0</v>
      </c>
      <c r="J229" s="188">
        <f t="shared" si="69"/>
        <v>0</v>
      </c>
      <c r="K229" s="188">
        <f t="shared" si="62"/>
        <v>0</v>
      </c>
      <c r="L229" s="188">
        <f t="shared" si="63"/>
        <v>25364.821687323572</v>
      </c>
    </row>
    <row r="230" spans="1:12">
      <c r="A230" s="114">
        <v>19</v>
      </c>
      <c r="B230" s="182">
        <f t="shared" si="64"/>
        <v>224</v>
      </c>
      <c r="C230" s="188">
        <f t="shared" si="61"/>
        <v>2643674.6139085903</v>
      </c>
      <c r="D230" s="188">
        <f t="shared" si="56"/>
        <v>11015.310891285793</v>
      </c>
      <c r="E230" s="188">
        <f t="shared" si="65"/>
        <v>14349.510796037779</v>
      </c>
      <c r="F230" s="188">
        <f t="shared" si="57"/>
        <v>25364.821687323572</v>
      </c>
      <c r="G230" s="188">
        <f t="shared" si="58"/>
        <v>2629325.1031125523</v>
      </c>
      <c r="H230" s="188">
        <f>G234*J$2/12</f>
        <v>0</v>
      </c>
      <c r="I230" s="188">
        <f t="shared" si="68"/>
        <v>0</v>
      </c>
      <c r="J230" s="188">
        <f t="shared" si="69"/>
        <v>0</v>
      </c>
      <c r="K230" s="188">
        <f t="shared" si="62"/>
        <v>0</v>
      </c>
      <c r="L230" s="188">
        <f t="shared" si="63"/>
        <v>25364.821687323572</v>
      </c>
    </row>
    <row r="231" spans="1:12">
      <c r="A231" s="114">
        <v>19</v>
      </c>
      <c r="B231" s="182">
        <f t="shared" si="64"/>
        <v>225</v>
      </c>
      <c r="C231" s="188">
        <f t="shared" si="61"/>
        <v>2629325.1031125523</v>
      </c>
      <c r="D231" s="188">
        <f t="shared" si="56"/>
        <v>10955.521262968969</v>
      </c>
      <c r="E231" s="188">
        <f t="shared" si="65"/>
        <v>14409.300424354604</v>
      </c>
      <c r="F231" s="188">
        <f t="shared" si="57"/>
        <v>25364.821687323572</v>
      </c>
      <c r="G231" s="188">
        <f t="shared" si="58"/>
        <v>2614915.8026881977</v>
      </c>
      <c r="H231" s="188">
        <f>G234*J$2/12</f>
        <v>0</v>
      </c>
      <c r="I231" s="188">
        <f t="shared" si="68"/>
        <v>0</v>
      </c>
      <c r="J231" s="188">
        <f t="shared" si="69"/>
        <v>0</v>
      </c>
      <c r="K231" s="188">
        <f t="shared" si="62"/>
        <v>0</v>
      </c>
      <c r="L231" s="188">
        <f t="shared" si="63"/>
        <v>25364.821687323572</v>
      </c>
    </row>
    <row r="232" spans="1:12">
      <c r="A232" s="114">
        <v>19</v>
      </c>
      <c r="B232" s="182">
        <f t="shared" si="64"/>
        <v>226</v>
      </c>
      <c r="C232" s="188">
        <f t="shared" si="61"/>
        <v>2614915.8026881977</v>
      </c>
      <c r="D232" s="188">
        <f t="shared" si="56"/>
        <v>10895.482511200824</v>
      </c>
      <c r="E232" s="188">
        <f t="shared" si="65"/>
        <v>14469.339176122749</v>
      </c>
      <c r="F232" s="188">
        <f t="shared" si="57"/>
        <v>25364.821687323572</v>
      </c>
      <c r="G232" s="188">
        <f t="shared" si="58"/>
        <v>2600446.4635120751</v>
      </c>
      <c r="H232" s="188">
        <f>G234*J$2/12</f>
        <v>0</v>
      </c>
      <c r="I232" s="188">
        <f t="shared" si="68"/>
        <v>0</v>
      </c>
      <c r="J232" s="188">
        <f t="shared" si="69"/>
        <v>0</v>
      </c>
      <c r="K232" s="188">
        <f t="shared" si="62"/>
        <v>0</v>
      </c>
      <c r="L232" s="188">
        <f t="shared" si="63"/>
        <v>25364.821687323572</v>
      </c>
    </row>
    <row r="233" spans="1:12">
      <c r="A233" s="190">
        <v>19</v>
      </c>
      <c r="B233" s="182">
        <f t="shared" si="64"/>
        <v>227</v>
      </c>
      <c r="C233" s="188">
        <f t="shared" si="61"/>
        <v>2600446.4635120751</v>
      </c>
      <c r="D233" s="188">
        <f t="shared" si="56"/>
        <v>10835.19359796698</v>
      </c>
      <c r="E233" s="188">
        <f t="shared" si="65"/>
        <v>14529.628089356593</v>
      </c>
      <c r="F233" s="188">
        <f t="shared" si="57"/>
        <v>25364.821687323572</v>
      </c>
      <c r="G233" s="188">
        <f t="shared" si="58"/>
        <v>2585916.8354227184</v>
      </c>
      <c r="H233" s="188">
        <f>G234*J$2/12</f>
        <v>0</v>
      </c>
      <c r="I233" s="188">
        <f t="shared" si="68"/>
        <v>0</v>
      </c>
      <c r="J233" s="188">
        <f t="shared" si="69"/>
        <v>0</v>
      </c>
      <c r="K233" s="188">
        <f t="shared" si="62"/>
        <v>0</v>
      </c>
      <c r="L233" s="188">
        <f t="shared" si="63"/>
        <v>25364.821687323572</v>
      </c>
    </row>
    <row r="234" spans="1:12">
      <c r="A234" s="238">
        <v>19</v>
      </c>
      <c r="B234" s="239">
        <f t="shared" si="64"/>
        <v>228</v>
      </c>
      <c r="C234" s="240">
        <f t="shared" si="61"/>
        <v>2585916.8354227184</v>
      </c>
      <c r="D234" s="240">
        <f t="shared" si="56"/>
        <v>10774.653480927993</v>
      </c>
      <c r="E234" s="240">
        <f t="shared" si="65"/>
        <v>14590.16820639558</v>
      </c>
      <c r="F234" s="240">
        <f t="shared" si="57"/>
        <v>25364.821687323572</v>
      </c>
      <c r="G234" s="240">
        <f t="shared" si="58"/>
        <v>2571326.6672163229</v>
      </c>
      <c r="H234" s="240">
        <f>G234*J$2/12</f>
        <v>0</v>
      </c>
      <c r="I234" s="240">
        <f t="shared" si="68"/>
        <v>0</v>
      </c>
      <c r="J234" s="240">
        <f t="shared" si="69"/>
        <v>0</v>
      </c>
      <c r="K234" s="240">
        <f t="shared" si="62"/>
        <v>0</v>
      </c>
      <c r="L234" s="240">
        <f t="shared" si="63"/>
        <v>25364.821687323572</v>
      </c>
    </row>
    <row r="235" spans="1:12">
      <c r="A235" s="114">
        <v>20</v>
      </c>
      <c r="B235" s="182">
        <f t="shared" si="64"/>
        <v>229</v>
      </c>
      <c r="C235" s="188">
        <f t="shared" si="61"/>
        <v>2571326.6672163229</v>
      </c>
      <c r="D235" s="188">
        <f t="shared" si="56"/>
        <v>10713.861113401346</v>
      </c>
      <c r="E235" s="188">
        <f t="shared" si="65"/>
        <v>14650.960573922226</v>
      </c>
      <c r="F235" s="188">
        <f t="shared" si="57"/>
        <v>25364.821687323572</v>
      </c>
      <c r="G235" s="188">
        <f t="shared" si="58"/>
        <v>2556675.7066424005</v>
      </c>
      <c r="H235" s="188">
        <f>G246*J$2/12</f>
        <v>0</v>
      </c>
      <c r="I235" s="188">
        <f t="shared" ref="I235:I246" si="70">(($C$235*$I$4)/12)</f>
        <v>0</v>
      </c>
      <c r="J235" s="188">
        <f t="shared" ref="J235:J246" si="71">(($C$235*$J$4)/12)</f>
        <v>0</v>
      </c>
      <c r="K235" s="188">
        <f t="shared" si="62"/>
        <v>0</v>
      </c>
      <c r="L235" s="188">
        <f t="shared" si="63"/>
        <v>25364.821687323572</v>
      </c>
    </row>
    <row r="236" spans="1:12">
      <c r="A236" s="114">
        <v>20</v>
      </c>
      <c r="B236" s="182">
        <f t="shared" si="64"/>
        <v>230</v>
      </c>
      <c r="C236" s="188">
        <f t="shared" si="61"/>
        <v>2556675.7066424005</v>
      </c>
      <c r="D236" s="188">
        <f t="shared" si="56"/>
        <v>10652.815444343336</v>
      </c>
      <c r="E236" s="188">
        <f t="shared" si="65"/>
        <v>14712.006242980236</v>
      </c>
      <c r="F236" s="188">
        <f t="shared" si="57"/>
        <v>25364.821687323572</v>
      </c>
      <c r="G236" s="188">
        <f t="shared" si="58"/>
        <v>2541963.7003994202</v>
      </c>
      <c r="H236" s="188">
        <f>G246*J$2/12</f>
        <v>0</v>
      </c>
      <c r="I236" s="188">
        <f t="shared" si="70"/>
        <v>0</v>
      </c>
      <c r="J236" s="188">
        <f t="shared" si="71"/>
        <v>0</v>
      </c>
      <c r="K236" s="188">
        <f t="shared" si="62"/>
        <v>0</v>
      </c>
      <c r="L236" s="188">
        <f t="shared" si="63"/>
        <v>25364.821687323572</v>
      </c>
    </row>
    <row r="237" spans="1:12">
      <c r="A237" s="114">
        <v>20</v>
      </c>
      <c r="B237" s="182">
        <f t="shared" si="64"/>
        <v>231</v>
      </c>
      <c r="C237" s="188">
        <f t="shared" si="61"/>
        <v>2541963.7003994202</v>
      </c>
      <c r="D237" s="188">
        <f t="shared" si="56"/>
        <v>10591.515418330919</v>
      </c>
      <c r="E237" s="188">
        <f t="shared" si="65"/>
        <v>14773.306268992654</v>
      </c>
      <c r="F237" s="188">
        <f t="shared" si="57"/>
        <v>25364.821687323572</v>
      </c>
      <c r="G237" s="188">
        <f t="shared" si="58"/>
        <v>2527190.3941304274</v>
      </c>
      <c r="H237" s="188">
        <f>G246*J$2/12</f>
        <v>0</v>
      </c>
      <c r="I237" s="188">
        <f t="shared" si="70"/>
        <v>0</v>
      </c>
      <c r="J237" s="188">
        <f t="shared" si="71"/>
        <v>0</v>
      </c>
      <c r="K237" s="188">
        <f t="shared" si="62"/>
        <v>0</v>
      </c>
      <c r="L237" s="188">
        <f t="shared" si="63"/>
        <v>25364.821687323572</v>
      </c>
    </row>
    <row r="238" spans="1:12">
      <c r="A238" s="114">
        <v>20</v>
      </c>
      <c r="B238" s="182">
        <f t="shared" si="64"/>
        <v>232</v>
      </c>
      <c r="C238" s="188">
        <f t="shared" si="61"/>
        <v>2527190.3941304274</v>
      </c>
      <c r="D238" s="188">
        <f t="shared" si="56"/>
        <v>10529.959975543448</v>
      </c>
      <c r="E238" s="188">
        <f t="shared" si="65"/>
        <v>14834.861711780124</v>
      </c>
      <c r="F238" s="188">
        <f t="shared" si="57"/>
        <v>25364.821687323572</v>
      </c>
      <c r="G238" s="188">
        <f t="shared" si="58"/>
        <v>2512355.5324186473</v>
      </c>
      <c r="H238" s="188">
        <f>G246*J$2/12</f>
        <v>0</v>
      </c>
      <c r="I238" s="188">
        <f t="shared" si="70"/>
        <v>0</v>
      </c>
      <c r="J238" s="188">
        <f t="shared" si="71"/>
        <v>0</v>
      </c>
      <c r="K238" s="188">
        <f t="shared" si="62"/>
        <v>0</v>
      </c>
      <c r="L238" s="188">
        <f t="shared" si="63"/>
        <v>25364.821687323572</v>
      </c>
    </row>
    <row r="239" spans="1:12">
      <c r="A239" s="114">
        <v>20</v>
      </c>
      <c r="B239" s="182">
        <f t="shared" si="64"/>
        <v>233</v>
      </c>
      <c r="C239" s="188">
        <f t="shared" si="61"/>
        <v>2512355.5324186473</v>
      </c>
      <c r="D239" s="188">
        <f t="shared" si="56"/>
        <v>10468.148051744365</v>
      </c>
      <c r="E239" s="188">
        <f t="shared" si="65"/>
        <v>14896.673635579207</v>
      </c>
      <c r="F239" s="188">
        <f t="shared" si="57"/>
        <v>25364.821687323572</v>
      </c>
      <c r="G239" s="188">
        <f t="shared" si="58"/>
        <v>2497458.8587830681</v>
      </c>
      <c r="H239" s="188">
        <f>G246*J$2/12</f>
        <v>0</v>
      </c>
      <c r="I239" s="188">
        <f t="shared" si="70"/>
        <v>0</v>
      </c>
      <c r="J239" s="188">
        <f t="shared" si="71"/>
        <v>0</v>
      </c>
      <c r="K239" s="188">
        <f t="shared" si="62"/>
        <v>0</v>
      </c>
      <c r="L239" s="188">
        <f t="shared" si="63"/>
        <v>25364.821687323572</v>
      </c>
    </row>
    <row r="240" spans="1:12">
      <c r="A240" s="114">
        <v>20</v>
      </c>
      <c r="B240" s="182">
        <f t="shared" si="64"/>
        <v>234</v>
      </c>
      <c r="C240" s="188">
        <f t="shared" si="61"/>
        <v>2497458.8587830681</v>
      </c>
      <c r="D240" s="188">
        <f t="shared" si="56"/>
        <v>10406.078578262785</v>
      </c>
      <c r="E240" s="188">
        <f t="shared" si="65"/>
        <v>14958.743109060788</v>
      </c>
      <c r="F240" s="188">
        <f t="shared" si="57"/>
        <v>25364.821687323572</v>
      </c>
      <c r="G240" s="188">
        <f t="shared" si="58"/>
        <v>2482500.1156740072</v>
      </c>
      <c r="H240" s="188">
        <f>G246*J$2/12</f>
        <v>0</v>
      </c>
      <c r="I240" s="188">
        <f t="shared" si="70"/>
        <v>0</v>
      </c>
      <c r="J240" s="188">
        <f t="shared" si="71"/>
        <v>0</v>
      </c>
      <c r="K240" s="188">
        <f t="shared" si="62"/>
        <v>0</v>
      </c>
      <c r="L240" s="188">
        <f t="shared" si="63"/>
        <v>25364.821687323572</v>
      </c>
    </row>
    <row r="241" spans="1:12">
      <c r="A241" s="114">
        <v>20</v>
      </c>
      <c r="B241" s="182">
        <f t="shared" si="64"/>
        <v>235</v>
      </c>
      <c r="C241" s="188">
        <f t="shared" si="61"/>
        <v>2482500.1156740072</v>
      </c>
      <c r="D241" s="188">
        <f t="shared" si="56"/>
        <v>10343.75048197503</v>
      </c>
      <c r="E241" s="188">
        <f t="shared" si="65"/>
        <v>15021.071205348542</v>
      </c>
      <c r="F241" s="188">
        <f t="shared" si="57"/>
        <v>25364.821687323572</v>
      </c>
      <c r="G241" s="188">
        <f t="shared" si="58"/>
        <v>2467479.0444686585</v>
      </c>
      <c r="H241" s="188">
        <f>G246*J$2/12</f>
        <v>0</v>
      </c>
      <c r="I241" s="188">
        <f t="shared" si="70"/>
        <v>0</v>
      </c>
      <c r="J241" s="188">
        <f t="shared" si="71"/>
        <v>0</v>
      </c>
      <c r="K241" s="188">
        <f t="shared" si="62"/>
        <v>0</v>
      </c>
      <c r="L241" s="188">
        <f t="shared" si="63"/>
        <v>25364.821687323572</v>
      </c>
    </row>
    <row r="242" spans="1:12">
      <c r="A242" s="114">
        <v>20</v>
      </c>
      <c r="B242" s="182">
        <f t="shared" si="64"/>
        <v>236</v>
      </c>
      <c r="C242" s="188">
        <f t="shared" si="61"/>
        <v>2467479.0444686585</v>
      </c>
      <c r="D242" s="188">
        <f t="shared" si="56"/>
        <v>10281.162685286077</v>
      </c>
      <c r="E242" s="188">
        <f t="shared" si="65"/>
        <v>15083.659002037495</v>
      </c>
      <c r="F242" s="188">
        <f t="shared" si="57"/>
        <v>25364.821687323572</v>
      </c>
      <c r="G242" s="188">
        <f t="shared" si="58"/>
        <v>2452395.3854666208</v>
      </c>
      <c r="H242" s="188">
        <f>G246*J$2/12</f>
        <v>0</v>
      </c>
      <c r="I242" s="188">
        <f t="shared" si="70"/>
        <v>0</v>
      </c>
      <c r="J242" s="188">
        <f t="shared" si="71"/>
        <v>0</v>
      </c>
      <c r="K242" s="188">
        <f t="shared" si="62"/>
        <v>0</v>
      </c>
      <c r="L242" s="188">
        <f t="shared" si="63"/>
        <v>25364.821687323572</v>
      </c>
    </row>
    <row r="243" spans="1:12">
      <c r="A243" s="114">
        <v>20</v>
      </c>
      <c r="B243" s="182">
        <f t="shared" si="64"/>
        <v>237</v>
      </c>
      <c r="C243" s="188">
        <f t="shared" si="61"/>
        <v>2452395.3854666208</v>
      </c>
      <c r="D243" s="188">
        <f t="shared" si="56"/>
        <v>10218.31410611092</v>
      </c>
      <c r="E243" s="188">
        <f t="shared" si="65"/>
        <v>15146.507581212652</v>
      </c>
      <c r="F243" s="188">
        <f t="shared" si="57"/>
        <v>25364.821687323572</v>
      </c>
      <c r="G243" s="188">
        <f t="shared" si="58"/>
        <v>2437248.8778854082</v>
      </c>
      <c r="H243" s="188">
        <f>G246*J$2/12</f>
        <v>0</v>
      </c>
      <c r="I243" s="188">
        <f t="shared" si="70"/>
        <v>0</v>
      </c>
      <c r="J243" s="188">
        <f t="shared" si="71"/>
        <v>0</v>
      </c>
      <c r="K243" s="188">
        <f t="shared" si="62"/>
        <v>0</v>
      </c>
      <c r="L243" s="188">
        <f t="shared" si="63"/>
        <v>25364.821687323572</v>
      </c>
    </row>
    <row r="244" spans="1:12">
      <c r="A244" s="114">
        <v>20</v>
      </c>
      <c r="B244" s="182">
        <f t="shared" si="64"/>
        <v>238</v>
      </c>
      <c r="C244" s="188">
        <f t="shared" si="61"/>
        <v>2437248.8778854082</v>
      </c>
      <c r="D244" s="188">
        <f t="shared" si="56"/>
        <v>10155.203657855867</v>
      </c>
      <c r="E244" s="188">
        <f t="shared" si="65"/>
        <v>15209.618029467705</v>
      </c>
      <c r="F244" s="188">
        <f t="shared" si="57"/>
        <v>25364.821687323572</v>
      </c>
      <c r="G244" s="188">
        <f t="shared" si="58"/>
        <v>2422039.2598559405</v>
      </c>
      <c r="H244" s="188">
        <f>G246*J$2/12</f>
        <v>0</v>
      </c>
      <c r="I244" s="188">
        <f t="shared" si="70"/>
        <v>0</v>
      </c>
      <c r="J244" s="188">
        <f t="shared" si="71"/>
        <v>0</v>
      </c>
      <c r="K244" s="188">
        <f t="shared" si="62"/>
        <v>0</v>
      </c>
      <c r="L244" s="188">
        <f t="shared" si="63"/>
        <v>25364.821687323572</v>
      </c>
    </row>
    <row r="245" spans="1:12">
      <c r="A245" s="114">
        <v>20</v>
      </c>
      <c r="B245" s="182">
        <f t="shared" si="64"/>
        <v>239</v>
      </c>
      <c r="C245" s="188">
        <f t="shared" si="61"/>
        <v>2422039.2598559405</v>
      </c>
      <c r="D245" s="188">
        <f t="shared" si="56"/>
        <v>10091.830249399753</v>
      </c>
      <c r="E245" s="188">
        <f t="shared" si="65"/>
        <v>15272.99143792382</v>
      </c>
      <c r="F245" s="188">
        <f t="shared" si="57"/>
        <v>25364.821687323572</v>
      </c>
      <c r="G245" s="188">
        <f t="shared" si="58"/>
        <v>2406766.2684180168</v>
      </c>
      <c r="H245" s="188">
        <f>G246*J$2/12</f>
        <v>0</v>
      </c>
      <c r="I245" s="188">
        <f t="shared" si="70"/>
        <v>0</v>
      </c>
      <c r="J245" s="188">
        <f t="shared" si="71"/>
        <v>0</v>
      </c>
      <c r="K245" s="188">
        <f t="shared" si="62"/>
        <v>0</v>
      </c>
      <c r="L245" s="188">
        <f t="shared" si="63"/>
        <v>25364.821687323572</v>
      </c>
    </row>
    <row r="246" spans="1:12">
      <c r="A246" s="238">
        <v>20</v>
      </c>
      <c r="B246" s="239">
        <f t="shared" si="64"/>
        <v>240</v>
      </c>
      <c r="C246" s="240">
        <f t="shared" si="61"/>
        <v>2406766.2684180168</v>
      </c>
      <c r="D246" s="240">
        <f t="shared" si="56"/>
        <v>10028.192785075071</v>
      </c>
      <c r="E246" s="240">
        <f t="shared" si="65"/>
        <v>15336.628902248502</v>
      </c>
      <c r="F246" s="240">
        <f t="shared" si="57"/>
        <v>25364.821687323572</v>
      </c>
      <c r="G246" s="240">
        <f t="shared" si="58"/>
        <v>2391429.6395157683</v>
      </c>
      <c r="H246" s="240">
        <f>G246*J$2/12</f>
        <v>0</v>
      </c>
      <c r="I246" s="240">
        <f t="shared" si="70"/>
        <v>0</v>
      </c>
      <c r="J246" s="240">
        <f t="shared" si="71"/>
        <v>0</v>
      </c>
      <c r="K246" s="240">
        <f t="shared" si="62"/>
        <v>0</v>
      </c>
      <c r="L246" s="240">
        <f t="shared" si="63"/>
        <v>25364.821687323572</v>
      </c>
    </row>
    <row r="247" spans="1:12">
      <c r="A247" s="114">
        <v>21</v>
      </c>
      <c r="B247" s="182">
        <f t="shared" si="64"/>
        <v>241</v>
      </c>
      <c r="C247" s="188">
        <f t="shared" si="61"/>
        <v>2391429.6395157683</v>
      </c>
      <c r="D247" s="188">
        <f t="shared" si="56"/>
        <v>9964.2901646490354</v>
      </c>
      <c r="E247" s="188">
        <f t="shared" si="65"/>
        <v>15400.531522674537</v>
      </c>
      <c r="F247" s="188">
        <f t="shared" si="57"/>
        <v>25364.821687323572</v>
      </c>
      <c r="G247" s="188">
        <f t="shared" si="58"/>
        <v>2376029.1079930938</v>
      </c>
      <c r="H247" s="188">
        <f>G258*J$2/12</f>
        <v>0</v>
      </c>
      <c r="I247" s="188">
        <f t="shared" ref="I247:I258" si="72">(($C$247*$I$4)/12)</f>
        <v>0</v>
      </c>
      <c r="J247" s="188">
        <f t="shared" ref="J247:J258" si="73">(($C$247*$J$4)/12)</f>
        <v>0</v>
      </c>
      <c r="K247" s="188">
        <f t="shared" si="62"/>
        <v>0</v>
      </c>
      <c r="L247" s="188">
        <f t="shared" si="63"/>
        <v>25364.821687323572</v>
      </c>
    </row>
    <row r="248" spans="1:12">
      <c r="A248" s="114">
        <v>21</v>
      </c>
      <c r="B248" s="182">
        <f t="shared" si="64"/>
        <v>242</v>
      </c>
      <c r="C248" s="188">
        <f t="shared" si="61"/>
        <v>2376029.1079930938</v>
      </c>
      <c r="D248" s="188">
        <f t="shared" si="56"/>
        <v>9900.1212833045574</v>
      </c>
      <c r="E248" s="188">
        <f t="shared" si="65"/>
        <v>15464.700404019015</v>
      </c>
      <c r="F248" s="188">
        <f t="shared" si="57"/>
        <v>25364.821687323572</v>
      </c>
      <c r="G248" s="188">
        <f t="shared" si="58"/>
        <v>2360564.4075890747</v>
      </c>
      <c r="H248" s="188">
        <f>G258*J$2/12</f>
        <v>0</v>
      </c>
      <c r="I248" s="188">
        <f t="shared" si="72"/>
        <v>0</v>
      </c>
      <c r="J248" s="188">
        <f t="shared" si="73"/>
        <v>0</v>
      </c>
      <c r="K248" s="188">
        <f t="shared" si="62"/>
        <v>0</v>
      </c>
      <c r="L248" s="188">
        <f t="shared" si="63"/>
        <v>25364.821687323572</v>
      </c>
    </row>
    <row r="249" spans="1:12">
      <c r="A249" s="114">
        <v>21</v>
      </c>
      <c r="B249" s="182">
        <f t="shared" si="64"/>
        <v>243</v>
      </c>
      <c r="C249" s="188">
        <f t="shared" si="61"/>
        <v>2360564.4075890747</v>
      </c>
      <c r="D249" s="188">
        <f t="shared" si="56"/>
        <v>9835.6850316211439</v>
      </c>
      <c r="E249" s="188">
        <f t="shared" si="65"/>
        <v>15529.136655702428</v>
      </c>
      <c r="F249" s="188">
        <f t="shared" si="57"/>
        <v>25364.821687323572</v>
      </c>
      <c r="G249" s="188">
        <f t="shared" si="58"/>
        <v>2345035.2709333724</v>
      </c>
      <c r="H249" s="188">
        <f>G258*J$2/12</f>
        <v>0</v>
      </c>
      <c r="I249" s="188">
        <f t="shared" si="72"/>
        <v>0</v>
      </c>
      <c r="J249" s="188">
        <f t="shared" si="73"/>
        <v>0</v>
      </c>
      <c r="K249" s="188">
        <f t="shared" si="62"/>
        <v>0</v>
      </c>
      <c r="L249" s="188">
        <f t="shared" si="63"/>
        <v>25364.821687323572</v>
      </c>
    </row>
    <row r="250" spans="1:12">
      <c r="A250" s="114">
        <v>21</v>
      </c>
      <c r="B250" s="182">
        <f t="shared" si="64"/>
        <v>244</v>
      </c>
      <c r="C250" s="188">
        <f t="shared" si="61"/>
        <v>2345035.2709333724</v>
      </c>
      <c r="D250" s="188">
        <f t="shared" si="56"/>
        <v>9770.9802955557188</v>
      </c>
      <c r="E250" s="188">
        <f t="shared" si="65"/>
        <v>15593.841391767854</v>
      </c>
      <c r="F250" s="188">
        <f t="shared" si="57"/>
        <v>25364.821687323572</v>
      </c>
      <c r="G250" s="188">
        <f t="shared" si="58"/>
        <v>2329441.4295416046</v>
      </c>
      <c r="H250" s="188">
        <f>G258*J$2/12</f>
        <v>0</v>
      </c>
      <c r="I250" s="188">
        <f t="shared" si="72"/>
        <v>0</v>
      </c>
      <c r="J250" s="188">
        <f t="shared" si="73"/>
        <v>0</v>
      </c>
      <c r="K250" s="188">
        <f t="shared" si="62"/>
        <v>0</v>
      </c>
      <c r="L250" s="188">
        <f t="shared" si="63"/>
        <v>25364.821687323572</v>
      </c>
    </row>
    <row r="251" spans="1:12">
      <c r="A251" s="114">
        <v>21</v>
      </c>
      <c r="B251" s="182">
        <f t="shared" si="64"/>
        <v>245</v>
      </c>
      <c r="C251" s="188">
        <f t="shared" si="61"/>
        <v>2329441.4295416046</v>
      </c>
      <c r="D251" s="188">
        <f t="shared" si="56"/>
        <v>9706.0059564233525</v>
      </c>
      <c r="E251" s="188">
        <f t="shared" si="65"/>
        <v>15658.81573090022</v>
      </c>
      <c r="F251" s="188">
        <f t="shared" si="57"/>
        <v>25364.821687323572</v>
      </c>
      <c r="G251" s="188">
        <f t="shared" si="58"/>
        <v>2313782.6138107046</v>
      </c>
      <c r="H251" s="188">
        <f>G258*J$2/12</f>
        <v>0</v>
      </c>
      <c r="I251" s="188">
        <f t="shared" si="72"/>
        <v>0</v>
      </c>
      <c r="J251" s="188">
        <f t="shared" si="73"/>
        <v>0</v>
      </c>
      <c r="K251" s="188">
        <f t="shared" si="62"/>
        <v>0</v>
      </c>
      <c r="L251" s="188">
        <f t="shared" si="63"/>
        <v>25364.821687323572</v>
      </c>
    </row>
    <row r="252" spans="1:12">
      <c r="A252" s="114">
        <v>21</v>
      </c>
      <c r="B252" s="182">
        <f t="shared" si="64"/>
        <v>246</v>
      </c>
      <c r="C252" s="188">
        <f t="shared" si="61"/>
        <v>2313782.6138107046</v>
      </c>
      <c r="D252" s="188">
        <f t="shared" si="56"/>
        <v>9640.7608908779366</v>
      </c>
      <c r="E252" s="188">
        <f t="shared" si="65"/>
        <v>15724.060796445636</v>
      </c>
      <c r="F252" s="188">
        <f t="shared" si="57"/>
        <v>25364.821687323572</v>
      </c>
      <c r="G252" s="188">
        <f t="shared" si="58"/>
        <v>2298058.5530142589</v>
      </c>
      <c r="H252" s="188">
        <f>G258*J$2/12</f>
        <v>0</v>
      </c>
      <c r="I252" s="188">
        <f t="shared" si="72"/>
        <v>0</v>
      </c>
      <c r="J252" s="188">
        <f t="shared" si="73"/>
        <v>0</v>
      </c>
      <c r="K252" s="188">
        <f t="shared" si="62"/>
        <v>0</v>
      </c>
      <c r="L252" s="188">
        <f t="shared" si="63"/>
        <v>25364.821687323572</v>
      </c>
    </row>
    <row r="253" spans="1:12">
      <c r="A253" s="114">
        <v>21</v>
      </c>
      <c r="B253" s="182">
        <f t="shared" si="64"/>
        <v>247</v>
      </c>
      <c r="C253" s="188">
        <f t="shared" si="61"/>
        <v>2298058.5530142589</v>
      </c>
      <c r="D253" s="188">
        <f t="shared" si="56"/>
        <v>9575.2439708927468</v>
      </c>
      <c r="E253" s="188">
        <f t="shared" si="65"/>
        <v>15789.577716430826</v>
      </c>
      <c r="F253" s="188">
        <f t="shared" si="57"/>
        <v>25364.821687323572</v>
      </c>
      <c r="G253" s="188">
        <f t="shared" si="58"/>
        <v>2282268.9752978282</v>
      </c>
      <c r="H253" s="188">
        <f>G258*J$2/12</f>
        <v>0</v>
      </c>
      <c r="I253" s="188">
        <f t="shared" si="72"/>
        <v>0</v>
      </c>
      <c r="J253" s="188">
        <f t="shared" si="73"/>
        <v>0</v>
      </c>
      <c r="K253" s="188">
        <f t="shared" si="62"/>
        <v>0</v>
      </c>
      <c r="L253" s="188">
        <f t="shared" si="63"/>
        <v>25364.821687323572</v>
      </c>
    </row>
    <row r="254" spans="1:12">
      <c r="A254" s="114">
        <v>21</v>
      </c>
      <c r="B254" s="182">
        <f t="shared" si="64"/>
        <v>248</v>
      </c>
      <c r="C254" s="188">
        <f t="shared" si="61"/>
        <v>2282268.9752978282</v>
      </c>
      <c r="D254" s="188">
        <f t="shared" si="56"/>
        <v>9509.4540637409518</v>
      </c>
      <c r="E254" s="188">
        <f t="shared" si="65"/>
        <v>15855.367623582621</v>
      </c>
      <c r="F254" s="188">
        <f t="shared" si="57"/>
        <v>25364.821687323572</v>
      </c>
      <c r="G254" s="188">
        <f t="shared" si="58"/>
        <v>2266413.6076742457</v>
      </c>
      <c r="H254" s="188">
        <f>G258*J$2/12</f>
        <v>0</v>
      </c>
      <c r="I254" s="188">
        <f t="shared" si="72"/>
        <v>0</v>
      </c>
      <c r="J254" s="188">
        <f t="shared" si="73"/>
        <v>0</v>
      </c>
      <c r="K254" s="188">
        <f t="shared" si="62"/>
        <v>0</v>
      </c>
      <c r="L254" s="188">
        <f t="shared" si="63"/>
        <v>25364.821687323572</v>
      </c>
    </row>
    <row r="255" spans="1:12">
      <c r="A255" s="114">
        <v>21</v>
      </c>
      <c r="B255" s="182">
        <f t="shared" si="64"/>
        <v>249</v>
      </c>
      <c r="C255" s="188">
        <f t="shared" si="61"/>
        <v>2266413.6076742457</v>
      </c>
      <c r="D255" s="188">
        <f t="shared" si="56"/>
        <v>9443.3900319760232</v>
      </c>
      <c r="E255" s="188">
        <f t="shared" si="65"/>
        <v>15921.431655347549</v>
      </c>
      <c r="F255" s="188">
        <f t="shared" si="57"/>
        <v>25364.821687323572</v>
      </c>
      <c r="G255" s="188">
        <f t="shared" si="58"/>
        <v>2250492.1760188984</v>
      </c>
      <c r="H255" s="188">
        <f>G258*J$2/12</f>
        <v>0</v>
      </c>
      <c r="I255" s="188">
        <f t="shared" si="72"/>
        <v>0</v>
      </c>
      <c r="J255" s="188">
        <f t="shared" si="73"/>
        <v>0</v>
      </c>
      <c r="K255" s="188">
        <f t="shared" si="62"/>
        <v>0</v>
      </c>
      <c r="L255" s="188">
        <f t="shared" si="63"/>
        <v>25364.821687323572</v>
      </c>
    </row>
    <row r="256" spans="1:12">
      <c r="A256" s="114">
        <v>21</v>
      </c>
      <c r="B256" s="182">
        <f t="shared" si="64"/>
        <v>250</v>
      </c>
      <c r="C256" s="188">
        <f t="shared" si="61"/>
        <v>2250492.1760188984</v>
      </c>
      <c r="D256" s="188">
        <f t="shared" si="56"/>
        <v>9377.0507334120775</v>
      </c>
      <c r="E256" s="188">
        <f t="shared" si="65"/>
        <v>15987.770953911495</v>
      </c>
      <c r="F256" s="188">
        <f t="shared" si="57"/>
        <v>25364.821687323572</v>
      </c>
      <c r="G256" s="188">
        <f t="shared" si="58"/>
        <v>2234504.405064987</v>
      </c>
      <c r="H256" s="188">
        <f>G258*J$2/12</f>
        <v>0</v>
      </c>
      <c r="I256" s="188">
        <f t="shared" si="72"/>
        <v>0</v>
      </c>
      <c r="J256" s="188">
        <f t="shared" si="73"/>
        <v>0</v>
      </c>
      <c r="K256" s="188">
        <f t="shared" si="62"/>
        <v>0</v>
      </c>
      <c r="L256" s="188">
        <f t="shared" si="63"/>
        <v>25364.821687323572</v>
      </c>
    </row>
    <row r="257" spans="1:12">
      <c r="A257" s="114">
        <v>21</v>
      </c>
      <c r="B257" s="182">
        <f t="shared" si="64"/>
        <v>251</v>
      </c>
      <c r="C257" s="188">
        <f t="shared" si="61"/>
        <v>2234504.405064987</v>
      </c>
      <c r="D257" s="188">
        <f t="shared" si="56"/>
        <v>9310.4350211041128</v>
      </c>
      <c r="E257" s="188">
        <f t="shared" si="65"/>
        <v>16054.38666621946</v>
      </c>
      <c r="F257" s="188">
        <f t="shared" si="57"/>
        <v>25364.821687323572</v>
      </c>
      <c r="G257" s="188">
        <f t="shared" si="58"/>
        <v>2218450.0183987673</v>
      </c>
      <c r="H257" s="188">
        <f>G258*J$2/12</f>
        <v>0</v>
      </c>
      <c r="I257" s="188">
        <f t="shared" si="72"/>
        <v>0</v>
      </c>
      <c r="J257" s="188">
        <f t="shared" si="73"/>
        <v>0</v>
      </c>
      <c r="K257" s="188">
        <f t="shared" si="62"/>
        <v>0</v>
      </c>
      <c r="L257" s="188">
        <f t="shared" si="63"/>
        <v>25364.821687323572</v>
      </c>
    </row>
    <row r="258" spans="1:12">
      <c r="A258" s="238">
        <v>21</v>
      </c>
      <c r="B258" s="239">
        <f t="shared" si="64"/>
        <v>252</v>
      </c>
      <c r="C258" s="240">
        <f t="shared" si="61"/>
        <v>2218450.0183987673</v>
      </c>
      <c r="D258" s="240">
        <f t="shared" si="56"/>
        <v>9243.5417433281982</v>
      </c>
      <c r="E258" s="240">
        <f t="shared" si="65"/>
        <v>16121.279943995374</v>
      </c>
      <c r="F258" s="240">
        <f t="shared" si="57"/>
        <v>25364.821687323572</v>
      </c>
      <c r="G258" s="240">
        <f t="shared" si="58"/>
        <v>2202328.7384547722</v>
      </c>
      <c r="H258" s="240">
        <f>G258*J$2/12</f>
        <v>0</v>
      </c>
      <c r="I258" s="240">
        <f t="shared" si="72"/>
        <v>0</v>
      </c>
      <c r="J258" s="240">
        <f t="shared" si="73"/>
        <v>0</v>
      </c>
      <c r="K258" s="240">
        <f t="shared" si="62"/>
        <v>0</v>
      </c>
      <c r="L258" s="240">
        <f t="shared" si="63"/>
        <v>25364.821687323572</v>
      </c>
    </row>
    <row r="259" spans="1:12">
      <c r="A259" s="114">
        <v>22</v>
      </c>
      <c r="B259" s="182">
        <f t="shared" si="64"/>
        <v>253</v>
      </c>
      <c r="C259" s="188">
        <f t="shared" si="61"/>
        <v>2202328.7384547722</v>
      </c>
      <c r="D259" s="188">
        <f t="shared" si="56"/>
        <v>9176.3697435615522</v>
      </c>
      <c r="E259" s="188">
        <f t="shared" si="65"/>
        <v>16188.45194376202</v>
      </c>
      <c r="F259" s="188">
        <f t="shared" si="57"/>
        <v>25364.821687323572</v>
      </c>
      <c r="G259" s="188">
        <f t="shared" si="58"/>
        <v>2186140.28651101</v>
      </c>
      <c r="H259" s="188">
        <f>G270*J$2/12</f>
        <v>0</v>
      </c>
      <c r="I259" s="188">
        <f t="shared" ref="I259:I270" si="74">(($C$259*$I$4)/12)</f>
        <v>0</v>
      </c>
      <c r="J259" s="188">
        <f t="shared" ref="J259:J270" si="75">(($C$259*$J$4)/12)</f>
        <v>0</v>
      </c>
      <c r="K259" s="188">
        <f t="shared" si="62"/>
        <v>0</v>
      </c>
      <c r="L259" s="188">
        <f t="shared" si="63"/>
        <v>25364.821687323572</v>
      </c>
    </row>
    <row r="260" spans="1:12">
      <c r="A260" s="114">
        <v>22</v>
      </c>
      <c r="B260" s="182">
        <f t="shared" si="64"/>
        <v>254</v>
      </c>
      <c r="C260" s="188">
        <f t="shared" si="61"/>
        <v>2186140.28651101</v>
      </c>
      <c r="D260" s="188">
        <f t="shared" si="56"/>
        <v>9108.9178604625431</v>
      </c>
      <c r="E260" s="188">
        <f t="shared" si="65"/>
        <v>16255.903826861029</v>
      </c>
      <c r="F260" s="188">
        <f t="shared" si="57"/>
        <v>25364.821687323572</v>
      </c>
      <c r="G260" s="188">
        <f t="shared" si="58"/>
        <v>2169884.3826841488</v>
      </c>
      <c r="H260" s="188">
        <f>G270*J$2/12</f>
        <v>0</v>
      </c>
      <c r="I260" s="188">
        <f t="shared" si="74"/>
        <v>0</v>
      </c>
      <c r="J260" s="188">
        <f t="shared" si="75"/>
        <v>0</v>
      </c>
      <c r="K260" s="188">
        <f t="shared" si="62"/>
        <v>0</v>
      </c>
      <c r="L260" s="188">
        <f t="shared" si="63"/>
        <v>25364.821687323572</v>
      </c>
    </row>
    <row r="261" spans="1:12">
      <c r="A261" s="114">
        <v>22</v>
      </c>
      <c r="B261" s="182">
        <f t="shared" si="64"/>
        <v>255</v>
      </c>
      <c r="C261" s="188">
        <f t="shared" si="61"/>
        <v>2169884.3826841488</v>
      </c>
      <c r="D261" s="188">
        <f t="shared" si="56"/>
        <v>9041.1849278506215</v>
      </c>
      <c r="E261" s="188">
        <f t="shared" si="65"/>
        <v>16323.636759472951</v>
      </c>
      <c r="F261" s="188">
        <f t="shared" si="57"/>
        <v>25364.821687323572</v>
      </c>
      <c r="G261" s="188">
        <f t="shared" si="58"/>
        <v>2153560.7459246758</v>
      </c>
      <c r="H261" s="188">
        <f>G270*J$2/12</f>
        <v>0</v>
      </c>
      <c r="I261" s="188">
        <f t="shared" si="74"/>
        <v>0</v>
      </c>
      <c r="J261" s="188">
        <f t="shared" si="75"/>
        <v>0</v>
      </c>
      <c r="K261" s="188">
        <f t="shared" si="62"/>
        <v>0</v>
      </c>
      <c r="L261" s="188">
        <f t="shared" si="63"/>
        <v>25364.821687323572</v>
      </c>
    </row>
    <row r="262" spans="1:12">
      <c r="A262" s="114">
        <v>22</v>
      </c>
      <c r="B262" s="182">
        <f t="shared" si="64"/>
        <v>256</v>
      </c>
      <c r="C262" s="188">
        <f t="shared" si="61"/>
        <v>2153560.7459246758</v>
      </c>
      <c r="D262" s="188">
        <f t="shared" si="56"/>
        <v>8973.16977468615</v>
      </c>
      <c r="E262" s="188">
        <f t="shared" si="65"/>
        <v>16391.651912637422</v>
      </c>
      <c r="F262" s="188">
        <f t="shared" si="57"/>
        <v>25364.821687323572</v>
      </c>
      <c r="G262" s="188">
        <f t="shared" si="58"/>
        <v>2137169.0940120383</v>
      </c>
      <c r="H262" s="188">
        <f>G270*J$2/12</f>
        <v>0</v>
      </c>
      <c r="I262" s="188">
        <f t="shared" si="74"/>
        <v>0</v>
      </c>
      <c r="J262" s="188">
        <f t="shared" si="75"/>
        <v>0</v>
      </c>
      <c r="K262" s="188">
        <f t="shared" si="62"/>
        <v>0</v>
      </c>
      <c r="L262" s="188">
        <f t="shared" si="63"/>
        <v>25364.821687323572</v>
      </c>
    </row>
    <row r="263" spans="1:12">
      <c r="A263" s="114">
        <v>22</v>
      </c>
      <c r="B263" s="182">
        <f t="shared" si="64"/>
        <v>257</v>
      </c>
      <c r="C263" s="188">
        <f t="shared" si="61"/>
        <v>2137169.0940120383</v>
      </c>
      <c r="D263" s="188">
        <f t="shared" ref="D263:D326" si="76">(C263*$J$1)/12</f>
        <v>8904.8712250501612</v>
      </c>
      <c r="E263" s="188">
        <f t="shared" si="65"/>
        <v>16459.950462273409</v>
      </c>
      <c r="F263" s="188">
        <f t="shared" ref="F263:F326" si="77">PMT($J$1/12,$E$3*12,-$C$7,0)</f>
        <v>25364.821687323572</v>
      </c>
      <c r="G263" s="188">
        <f t="shared" ref="G263:G326" si="78">C263-E263</f>
        <v>2120709.143549765</v>
      </c>
      <c r="H263" s="188">
        <f>G270*J$2/12</f>
        <v>0</v>
      </c>
      <c r="I263" s="188">
        <f t="shared" si="74"/>
        <v>0</v>
      </c>
      <c r="J263" s="188">
        <f t="shared" si="75"/>
        <v>0</v>
      </c>
      <c r="K263" s="188">
        <f t="shared" si="62"/>
        <v>0</v>
      </c>
      <c r="L263" s="188">
        <f t="shared" si="63"/>
        <v>25364.821687323572</v>
      </c>
    </row>
    <row r="264" spans="1:12">
      <c r="A264" s="114">
        <v>22</v>
      </c>
      <c r="B264" s="182">
        <f t="shared" si="64"/>
        <v>258</v>
      </c>
      <c r="C264" s="188">
        <f t="shared" ref="C264:C327" si="79">G263</f>
        <v>2120709.143549765</v>
      </c>
      <c r="D264" s="188">
        <f t="shared" si="76"/>
        <v>8836.2880981240214</v>
      </c>
      <c r="E264" s="188">
        <f t="shared" si="65"/>
        <v>16528.533589199549</v>
      </c>
      <c r="F264" s="188">
        <f t="shared" si="77"/>
        <v>25364.821687323572</v>
      </c>
      <c r="G264" s="188">
        <f t="shared" si="78"/>
        <v>2104180.6099605653</v>
      </c>
      <c r="H264" s="188">
        <f>G270*J$2/12</f>
        <v>0</v>
      </c>
      <c r="I264" s="188">
        <f t="shared" si="74"/>
        <v>0</v>
      </c>
      <c r="J264" s="188">
        <f t="shared" si="75"/>
        <v>0</v>
      </c>
      <c r="K264" s="188">
        <f t="shared" ref="K264:K327" si="80">SUM(I264:J264)</f>
        <v>0</v>
      </c>
      <c r="L264" s="188">
        <f t="shared" ref="L264:L327" si="81">F264+H264+K264</f>
        <v>25364.821687323572</v>
      </c>
    </row>
    <row r="265" spans="1:12">
      <c r="A265" s="114">
        <v>22</v>
      </c>
      <c r="B265" s="182">
        <f t="shared" ref="B265:B328" si="82">B264+1</f>
        <v>259</v>
      </c>
      <c r="C265" s="188">
        <f t="shared" si="79"/>
        <v>2104180.6099605653</v>
      </c>
      <c r="D265" s="188">
        <f t="shared" si="76"/>
        <v>8767.4192081690217</v>
      </c>
      <c r="E265" s="188">
        <f t="shared" ref="E265:E328" si="83">(F265-D265)</f>
        <v>16597.402479154553</v>
      </c>
      <c r="F265" s="188">
        <f t="shared" si="77"/>
        <v>25364.821687323572</v>
      </c>
      <c r="G265" s="188">
        <f t="shared" si="78"/>
        <v>2087583.2074814108</v>
      </c>
      <c r="H265" s="188">
        <f>G270*J$2/12</f>
        <v>0</v>
      </c>
      <c r="I265" s="188">
        <f t="shared" si="74"/>
        <v>0</v>
      </c>
      <c r="J265" s="188">
        <f t="shared" si="75"/>
        <v>0</v>
      </c>
      <c r="K265" s="188">
        <f t="shared" si="80"/>
        <v>0</v>
      </c>
      <c r="L265" s="188">
        <f t="shared" si="81"/>
        <v>25364.821687323572</v>
      </c>
    </row>
    <row r="266" spans="1:12">
      <c r="A266" s="114">
        <v>22</v>
      </c>
      <c r="B266" s="182">
        <f t="shared" si="82"/>
        <v>260</v>
      </c>
      <c r="C266" s="188">
        <f t="shared" si="79"/>
        <v>2087583.2074814108</v>
      </c>
      <c r="D266" s="188">
        <f t="shared" si="76"/>
        <v>8698.2633645058795</v>
      </c>
      <c r="E266" s="188">
        <f t="shared" si="83"/>
        <v>16666.558322817691</v>
      </c>
      <c r="F266" s="188">
        <f t="shared" si="77"/>
        <v>25364.821687323572</v>
      </c>
      <c r="G266" s="188">
        <f t="shared" si="78"/>
        <v>2070916.649158593</v>
      </c>
      <c r="H266" s="188">
        <f>G270*J$2/12</f>
        <v>0</v>
      </c>
      <c r="I266" s="188">
        <f t="shared" si="74"/>
        <v>0</v>
      </c>
      <c r="J266" s="188">
        <f t="shared" si="75"/>
        <v>0</v>
      </c>
      <c r="K266" s="188">
        <f t="shared" si="80"/>
        <v>0</v>
      </c>
      <c r="L266" s="188">
        <f t="shared" si="81"/>
        <v>25364.821687323572</v>
      </c>
    </row>
    <row r="267" spans="1:12">
      <c r="A267" s="114">
        <v>22</v>
      </c>
      <c r="B267" s="182">
        <f t="shared" si="82"/>
        <v>261</v>
      </c>
      <c r="C267" s="188">
        <f t="shared" si="79"/>
        <v>2070916.649158593</v>
      </c>
      <c r="D267" s="188">
        <f t="shared" si="76"/>
        <v>8628.819371494139</v>
      </c>
      <c r="E267" s="188">
        <f t="shared" si="83"/>
        <v>16736.002315829435</v>
      </c>
      <c r="F267" s="188">
        <f t="shared" si="77"/>
        <v>25364.821687323572</v>
      </c>
      <c r="G267" s="188">
        <f t="shared" si="78"/>
        <v>2054180.6468427635</v>
      </c>
      <c r="H267" s="188">
        <f>G270*J$2/12</f>
        <v>0</v>
      </c>
      <c r="I267" s="188">
        <f t="shared" si="74"/>
        <v>0</v>
      </c>
      <c r="J267" s="188">
        <f t="shared" si="75"/>
        <v>0</v>
      </c>
      <c r="K267" s="188">
        <f t="shared" si="80"/>
        <v>0</v>
      </c>
      <c r="L267" s="188">
        <f t="shared" si="81"/>
        <v>25364.821687323572</v>
      </c>
    </row>
    <row r="268" spans="1:12">
      <c r="A268" s="114">
        <v>22</v>
      </c>
      <c r="B268" s="182">
        <f t="shared" si="82"/>
        <v>262</v>
      </c>
      <c r="C268" s="188">
        <f t="shared" si="79"/>
        <v>2054180.6468427635</v>
      </c>
      <c r="D268" s="188">
        <f t="shared" si="76"/>
        <v>8559.0860285115141</v>
      </c>
      <c r="E268" s="188">
        <f t="shared" si="83"/>
        <v>16805.73565881206</v>
      </c>
      <c r="F268" s="188">
        <f t="shared" si="77"/>
        <v>25364.821687323572</v>
      </c>
      <c r="G268" s="188">
        <f t="shared" si="78"/>
        <v>2037374.9111839514</v>
      </c>
      <c r="H268" s="188">
        <f>G270*J$2/12</f>
        <v>0</v>
      </c>
      <c r="I268" s="188">
        <f t="shared" si="74"/>
        <v>0</v>
      </c>
      <c r="J268" s="188">
        <f t="shared" si="75"/>
        <v>0</v>
      </c>
      <c r="K268" s="188">
        <f t="shared" si="80"/>
        <v>0</v>
      </c>
      <c r="L268" s="188">
        <f t="shared" si="81"/>
        <v>25364.821687323572</v>
      </c>
    </row>
    <row r="269" spans="1:12">
      <c r="A269" s="114">
        <v>22</v>
      </c>
      <c r="B269" s="182">
        <f t="shared" si="82"/>
        <v>263</v>
      </c>
      <c r="C269" s="188">
        <f t="shared" si="79"/>
        <v>2037374.9111839514</v>
      </c>
      <c r="D269" s="188">
        <f t="shared" si="76"/>
        <v>8489.0621299331306</v>
      </c>
      <c r="E269" s="188">
        <f t="shared" si="83"/>
        <v>16875.75955739044</v>
      </c>
      <c r="F269" s="188">
        <f t="shared" si="77"/>
        <v>25364.821687323572</v>
      </c>
      <c r="G269" s="188">
        <f t="shared" si="78"/>
        <v>2020499.1516265611</v>
      </c>
      <c r="H269" s="188">
        <f>G270*J$2/12</f>
        <v>0</v>
      </c>
      <c r="I269" s="188">
        <f t="shared" si="74"/>
        <v>0</v>
      </c>
      <c r="J269" s="188">
        <f t="shared" si="75"/>
        <v>0</v>
      </c>
      <c r="K269" s="188">
        <f t="shared" si="80"/>
        <v>0</v>
      </c>
      <c r="L269" s="188">
        <f t="shared" si="81"/>
        <v>25364.821687323572</v>
      </c>
    </row>
    <row r="270" spans="1:12">
      <c r="A270" s="238">
        <v>22</v>
      </c>
      <c r="B270" s="239">
        <f t="shared" si="82"/>
        <v>264</v>
      </c>
      <c r="C270" s="240">
        <f t="shared" si="79"/>
        <v>2020499.1516265611</v>
      </c>
      <c r="D270" s="240">
        <f t="shared" si="76"/>
        <v>8418.7464651106711</v>
      </c>
      <c r="E270" s="240">
        <f t="shared" si="83"/>
        <v>16946.075222212901</v>
      </c>
      <c r="F270" s="240">
        <f t="shared" si="77"/>
        <v>25364.821687323572</v>
      </c>
      <c r="G270" s="240">
        <f t="shared" si="78"/>
        <v>2003553.0764043482</v>
      </c>
      <c r="H270" s="240">
        <f>G270*J$2/12</f>
        <v>0</v>
      </c>
      <c r="I270" s="240">
        <f t="shared" si="74"/>
        <v>0</v>
      </c>
      <c r="J270" s="240">
        <f t="shared" si="75"/>
        <v>0</v>
      </c>
      <c r="K270" s="240">
        <f t="shared" si="80"/>
        <v>0</v>
      </c>
      <c r="L270" s="240">
        <f t="shared" si="81"/>
        <v>25364.821687323572</v>
      </c>
    </row>
    <row r="271" spans="1:12">
      <c r="A271" s="114">
        <v>23</v>
      </c>
      <c r="B271" s="182">
        <f t="shared" si="82"/>
        <v>265</v>
      </c>
      <c r="C271" s="188">
        <f t="shared" si="79"/>
        <v>2003553.0764043482</v>
      </c>
      <c r="D271" s="188">
        <f t="shared" si="76"/>
        <v>8348.1378183514516</v>
      </c>
      <c r="E271" s="188">
        <f t="shared" si="83"/>
        <v>17016.683868972119</v>
      </c>
      <c r="F271" s="188">
        <f t="shared" si="77"/>
        <v>25364.821687323572</v>
      </c>
      <c r="G271" s="188">
        <f t="shared" si="78"/>
        <v>1986536.3925353761</v>
      </c>
      <c r="H271" s="188">
        <f>G282*J$2/12</f>
        <v>0</v>
      </c>
      <c r="I271" s="188">
        <f t="shared" ref="I271:I282" si="84">(($C$271*$I$4)/12)</f>
        <v>0</v>
      </c>
      <c r="J271" s="188">
        <f t="shared" ref="J271:J282" si="85">(($C$271*$J$4)/12)</f>
        <v>0</v>
      </c>
      <c r="K271" s="188">
        <f t="shared" si="80"/>
        <v>0</v>
      </c>
      <c r="L271" s="188">
        <f t="shared" si="81"/>
        <v>25364.821687323572</v>
      </c>
    </row>
    <row r="272" spans="1:12">
      <c r="A272" s="114">
        <v>23</v>
      </c>
      <c r="B272" s="182">
        <f t="shared" si="82"/>
        <v>266</v>
      </c>
      <c r="C272" s="188">
        <f t="shared" si="79"/>
        <v>1986536.3925353761</v>
      </c>
      <c r="D272" s="188">
        <f t="shared" si="76"/>
        <v>8277.2349688974009</v>
      </c>
      <c r="E272" s="188">
        <f t="shared" si="83"/>
        <v>17087.586718426173</v>
      </c>
      <c r="F272" s="188">
        <f t="shared" si="77"/>
        <v>25364.821687323572</v>
      </c>
      <c r="G272" s="188">
        <f t="shared" si="78"/>
        <v>1969448.80581695</v>
      </c>
      <c r="H272" s="188">
        <f>G282*J$2/12</f>
        <v>0</v>
      </c>
      <c r="I272" s="188">
        <f t="shared" si="84"/>
        <v>0</v>
      </c>
      <c r="J272" s="188">
        <f t="shared" si="85"/>
        <v>0</v>
      </c>
      <c r="K272" s="188">
        <f t="shared" si="80"/>
        <v>0</v>
      </c>
      <c r="L272" s="188">
        <f t="shared" si="81"/>
        <v>25364.821687323572</v>
      </c>
    </row>
    <row r="273" spans="1:12">
      <c r="A273" s="114">
        <v>23</v>
      </c>
      <c r="B273" s="182">
        <f t="shared" si="82"/>
        <v>267</v>
      </c>
      <c r="C273" s="188">
        <f t="shared" si="79"/>
        <v>1969448.80581695</v>
      </c>
      <c r="D273" s="188">
        <f t="shared" si="76"/>
        <v>8206.0366909039585</v>
      </c>
      <c r="E273" s="188">
        <f t="shared" si="83"/>
        <v>17158.784996419614</v>
      </c>
      <c r="F273" s="188">
        <f t="shared" si="77"/>
        <v>25364.821687323572</v>
      </c>
      <c r="G273" s="188">
        <f t="shared" si="78"/>
        <v>1952290.0208205304</v>
      </c>
      <c r="H273" s="188">
        <f>G282*J$2/12</f>
        <v>0</v>
      </c>
      <c r="I273" s="188">
        <f t="shared" si="84"/>
        <v>0</v>
      </c>
      <c r="J273" s="188">
        <f t="shared" si="85"/>
        <v>0</v>
      </c>
      <c r="K273" s="188">
        <f t="shared" si="80"/>
        <v>0</v>
      </c>
      <c r="L273" s="188">
        <f t="shared" si="81"/>
        <v>25364.821687323572</v>
      </c>
    </row>
    <row r="274" spans="1:12">
      <c r="A274" s="114">
        <v>23</v>
      </c>
      <c r="B274" s="182">
        <f t="shared" si="82"/>
        <v>268</v>
      </c>
      <c r="C274" s="188">
        <f t="shared" si="79"/>
        <v>1952290.0208205304</v>
      </c>
      <c r="D274" s="188">
        <f t="shared" si="76"/>
        <v>8134.5417534188773</v>
      </c>
      <c r="E274" s="188">
        <f t="shared" si="83"/>
        <v>17230.279933904694</v>
      </c>
      <c r="F274" s="188">
        <f t="shared" si="77"/>
        <v>25364.821687323572</v>
      </c>
      <c r="G274" s="188">
        <f t="shared" si="78"/>
        <v>1935059.7408866256</v>
      </c>
      <c r="H274" s="188">
        <f>G282*J$2/12</f>
        <v>0</v>
      </c>
      <c r="I274" s="188">
        <f t="shared" si="84"/>
        <v>0</v>
      </c>
      <c r="J274" s="188">
        <f t="shared" si="85"/>
        <v>0</v>
      </c>
      <c r="K274" s="188">
        <f t="shared" si="80"/>
        <v>0</v>
      </c>
      <c r="L274" s="188">
        <f t="shared" si="81"/>
        <v>25364.821687323572</v>
      </c>
    </row>
    <row r="275" spans="1:12">
      <c r="A275" s="114">
        <v>23</v>
      </c>
      <c r="B275" s="182">
        <f t="shared" si="82"/>
        <v>269</v>
      </c>
      <c r="C275" s="188">
        <f t="shared" si="79"/>
        <v>1935059.7408866256</v>
      </c>
      <c r="D275" s="188">
        <f t="shared" si="76"/>
        <v>8062.7489203609402</v>
      </c>
      <c r="E275" s="188">
        <f t="shared" si="83"/>
        <v>17302.072766962632</v>
      </c>
      <c r="F275" s="188">
        <f t="shared" si="77"/>
        <v>25364.821687323572</v>
      </c>
      <c r="G275" s="188">
        <f t="shared" si="78"/>
        <v>1917757.6681196629</v>
      </c>
      <c r="H275" s="188">
        <f>G282*J$2/12</f>
        <v>0</v>
      </c>
      <c r="I275" s="188">
        <f t="shared" si="84"/>
        <v>0</v>
      </c>
      <c r="J275" s="188">
        <f t="shared" si="85"/>
        <v>0</v>
      </c>
      <c r="K275" s="188">
        <f t="shared" si="80"/>
        <v>0</v>
      </c>
      <c r="L275" s="188">
        <f t="shared" si="81"/>
        <v>25364.821687323572</v>
      </c>
    </row>
    <row r="276" spans="1:12">
      <c r="A276" s="114">
        <v>23</v>
      </c>
      <c r="B276" s="182">
        <f t="shared" si="82"/>
        <v>270</v>
      </c>
      <c r="C276" s="188">
        <f t="shared" si="79"/>
        <v>1917757.6681196629</v>
      </c>
      <c r="D276" s="188">
        <f t="shared" si="76"/>
        <v>7990.6569504985964</v>
      </c>
      <c r="E276" s="188">
        <f t="shared" si="83"/>
        <v>17374.164736824976</v>
      </c>
      <c r="F276" s="188">
        <f t="shared" si="77"/>
        <v>25364.821687323572</v>
      </c>
      <c r="G276" s="188">
        <f t="shared" si="78"/>
        <v>1900383.5033828379</v>
      </c>
      <c r="H276" s="188">
        <f>G282*J$2/12</f>
        <v>0</v>
      </c>
      <c r="I276" s="188">
        <f t="shared" si="84"/>
        <v>0</v>
      </c>
      <c r="J276" s="188">
        <f t="shared" si="85"/>
        <v>0</v>
      </c>
      <c r="K276" s="188">
        <f t="shared" si="80"/>
        <v>0</v>
      </c>
      <c r="L276" s="188">
        <f t="shared" si="81"/>
        <v>25364.821687323572</v>
      </c>
    </row>
    <row r="277" spans="1:12">
      <c r="A277" s="114">
        <v>23</v>
      </c>
      <c r="B277" s="182">
        <f t="shared" si="82"/>
        <v>271</v>
      </c>
      <c r="C277" s="188">
        <f t="shared" si="79"/>
        <v>1900383.5033828379</v>
      </c>
      <c r="D277" s="188">
        <f t="shared" si="76"/>
        <v>7918.2645974284924</v>
      </c>
      <c r="E277" s="188">
        <f t="shared" si="83"/>
        <v>17446.557089895079</v>
      </c>
      <c r="F277" s="188">
        <f t="shared" si="77"/>
        <v>25364.821687323572</v>
      </c>
      <c r="G277" s="188">
        <f t="shared" si="78"/>
        <v>1882936.9462929429</v>
      </c>
      <c r="H277" s="188">
        <f>G282*J$2/12</f>
        <v>0</v>
      </c>
      <c r="I277" s="188">
        <f t="shared" si="84"/>
        <v>0</v>
      </c>
      <c r="J277" s="188">
        <f t="shared" si="85"/>
        <v>0</v>
      </c>
      <c r="K277" s="188">
        <f t="shared" si="80"/>
        <v>0</v>
      </c>
      <c r="L277" s="188">
        <f t="shared" si="81"/>
        <v>25364.821687323572</v>
      </c>
    </row>
    <row r="278" spans="1:12">
      <c r="A278" s="114">
        <v>23</v>
      </c>
      <c r="B278" s="182">
        <f t="shared" si="82"/>
        <v>272</v>
      </c>
      <c r="C278" s="188">
        <f t="shared" si="79"/>
        <v>1882936.9462929429</v>
      </c>
      <c r="D278" s="188">
        <f t="shared" si="76"/>
        <v>7845.570609553929</v>
      </c>
      <c r="E278" s="188">
        <f t="shared" si="83"/>
        <v>17519.251077769644</v>
      </c>
      <c r="F278" s="188">
        <f t="shared" si="77"/>
        <v>25364.821687323572</v>
      </c>
      <c r="G278" s="188">
        <f t="shared" si="78"/>
        <v>1865417.6952151733</v>
      </c>
      <c r="H278" s="188">
        <f>G282*J$2/12</f>
        <v>0</v>
      </c>
      <c r="I278" s="188">
        <f t="shared" si="84"/>
        <v>0</v>
      </c>
      <c r="J278" s="188">
        <f t="shared" si="85"/>
        <v>0</v>
      </c>
      <c r="K278" s="188">
        <f t="shared" si="80"/>
        <v>0</v>
      </c>
      <c r="L278" s="188">
        <f t="shared" si="81"/>
        <v>25364.821687323572</v>
      </c>
    </row>
    <row r="279" spans="1:12">
      <c r="A279" s="114">
        <v>23</v>
      </c>
      <c r="B279" s="182">
        <f t="shared" si="82"/>
        <v>273</v>
      </c>
      <c r="C279" s="188">
        <f t="shared" si="79"/>
        <v>1865417.6952151733</v>
      </c>
      <c r="D279" s="188">
        <f t="shared" si="76"/>
        <v>7772.5737300632218</v>
      </c>
      <c r="E279" s="188">
        <f t="shared" si="83"/>
        <v>17592.247957260352</v>
      </c>
      <c r="F279" s="188">
        <f t="shared" si="77"/>
        <v>25364.821687323572</v>
      </c>
      <c r="G279" s="188">
        <f t="shared" si="78"/>
        <v>1847825.447257913</v>
      </c>
      <c r="H279" s="188">
        <f>G282*J$2/12</f>
        <v>0</v>
      </c>
      <c r="I279" s="188">
        <f t="shared" si="84"/>
        <v>0</v>
      </c>
      <c r="J279" s="188">
        <f t="shared" si="85"/>
        <v>0</v>
      </c>
      <c r="K279" s="188">
        <f t="shared" si="80"/>
        <v>0</v>
      </c>
      <c r="L279" s="188">
        <f t="shared" si="81"/>
        <v>25364.821687323572</v>
      </c>
    </row>
    <row r="280" spans="1:12">
      <c r="A280" s="114">
        <v>23</v>
      </c>
      <c r="B280" s="182">
        <f t="shared" si="82"/>
        <v>274</v>
      </c>
      <c r="C280" s="188">
        <f t="shared" si="79"/>
        <v>1847825.447257913</v>
      </c>
      <c r="D280" s="188">
        <f t="shared" si="76"/>
        <v>7699.2726969079713</v>
      </c>
      <c r="E280" s="188">
        <f t="shared" si="83"/>
        <v>17665.548990415602</v>
      </c>
      <c r="F280" s="188">
        <f t="shared" si="77"/>
        <v>25364.821687323572</v>
      </c>
      <c r="G280" s="188">
        <f t="shared" si="78"/>
        <v>1830159.8982674973</v>
      </c>
      <c r="H280" s="188">
        <f>G282*J$2/12</f>
        <v>0</v>
      </c>
      <c r="I280" s="188">
        <f t="shared" si="84"/>
        <v>0</v>
      </c>
      <c r="J280" s="188">
        <f t="shared" si="85"/>
        <v>0</v>
      </c>
      <c r="K280" s="188">
        <f t="shared" si="80"/>
        <v>0</v>
      </c>
      <c r="L280" s="188">
        <f t="shared" si="81"/>
        <v>25364.821687323572</v>
      </c>
    </row>
    <row r="281" spans="1:12">
      <c r="A281" s="114">
        <v>23</v>
      </c>
      <c r="B281" s="182">
        <f t="shared" si="82"/>
        <v>275</v>
      </c>
      <c r="C281" s="188">
        <f t="shared" si="79"/>
        <v>1830159.8982674973</v>
      </c>
      <c r="D281" s="188">
        <f t="shared" si="76"/>
        <v>7625.6662427812398</v>
      </c>
      <c r="E281" s="188">
        <f t="shared" si="83"/>
        <v>17739.155444542332</v>
      </c>
      <c r="F281" s="188">
        <f t="shared" si="77"/>
        <v>25364.821687323572</v>
      </c>
      <c r="G281" s="188">
        <f t="shared" si="78"/>
        <v>1812420.7428229549</v>
      </c>
      <c r="H281" s="188">
        <f>G282*J$2/12</f>
        <v>0</v>
      </c>
      <c r="I281" s="188">
        <f t="shared" si="84"/>
        <v>0</v>
      </c>
      <c r="J281" s="188">
        <f t="shared" si="85"/>
        <v>0</v>
      </c>
      <c r="K281" s="188">
        <f t="shared" si="80"/>
        <v>0</v>
      </c>
      <c r="L281" s="188">
        <f t="shared" si="81"/>
        <v>25364.821687323572</v>
      </c>
    </row>
    <row r="282" spans="1:12">
      <c r="A282" s="238">
        <v>23</v>
      </c>
      <c r="B282" s="239">
        <f t="shared" si="82"/>
        <v>276</v>
      </c>
      <c r="C282" s="240">
        <f t="shared" si="79"/>
        <v>1812420.7428229549</v>
      </c>
      <c r="D282" s="240">
        <f t="shared" si="76"/>
        <v>7551.7530950956461</v>
      </c>
      <c r="E282" s="240">
        <f t="shared" si="83"/>
        <v>17813.068592227926</v>
      </c>
      <c r="F282" s="240">
        <f t="shared" si="77"/>
        <v>25364.821687323572</v>
      </c>
      <c r="G282" s="240">
        <f t="shared" si="78"/>
        <v>1794607.6742307269</v>
      </c>
      <c r="H282" s="240">
        <f>G282*J$2/12</f>
        <v>0</v>
      </c>
      <c r="I282" s="240">
        <f t="shared" si="84"/>
        <v>0</v>
      </c>
      <c r="J282" s="240">
        <f t="shared" si="85"/>
        <v>0</v>
      </c>
      <c r="K282" s="240">
        <f t="shared" si="80"/>
        <v>0</v>
      </c>
      <c r="L282" s="240">
        <f t="shared" si="81"/>
        <v>25364.821687323572</v>
      </c>
    </row>
    <row r="283" spans="1:12">
      <c r="A283" s="114">
        <v>24</v>
      </c>
      <c r="B283" s="182">
        <f t="shared" si="82"/>
        <v>277</v>
      </c>
      <c r="C283" s="188">
        <f t="shared" si="79"/>
        <v>1794607.6742307269</v>
      </c>
      <c r="D283" s="188">
        <f t="shared" si="76"/>
        <v>7477.5319759613631</v>
      </c>
      <c r="E283" s="188">
        <f t="shared" si="83"/>
        <v>17887.289711362209</v>
      </c>
      <c r="F283" s="188">
        <f t="shared" si="77"/>
        <v>25364.821687323572</v>
      </c>
      <c r="G283" s="188">
        <f t="shared" si="78"/>
        <v>1776720.3845193647</v>
      </c>
      <c r="H283" s="188">
        <f>G294*J$2/12</f>
        <v>0</v>
      </c>
      <c r="I283" s="188">
        <f t="shared" ref="I283:I294" si="86">(($C$283*$I$4)/12)</f>
        <v>0</v>
      </c>
      <c r="J283" s="188">
        <f t="shared" ref="J283:J294" si="87">(($C$283*$J$4)/12)</f>
        <v>0</v>
      </c>
      <c r="K283" s="188">
        <f t="shared" si="80"/>
        <v>0</v>
      </c>
      <c r="L283" s="188">
        <f t="shared" si="81"/>
        <v>25364.821687323572</v>
      </c>
    </row>
    <row r="284" spans="1:12">
      <c r="A284" s="114">
        <v>24</v>
      </c>
      <c r="B284" s="182">
        <f t="shared" si="82"/>
        <v>278</v>
      </c>
      <c r="C284" s="188">
        <f t="shared" si="79"/>
        <v>1776720.3845193647</v>
      </c>
      <c r="D284" s="188">
        <f t="shared" si="76"/>
        <v>7403.0016021640195</v>
      </c>
      <c r="E284" s="188">
        <f t="shared" si="83"/>
        <v>17961.820085159554</v>
      </c>
      <c r="F284" s="188">
        <f t="shared" si="77"/>
        <v>25364.821687323572</v>
      </c>
      <c r="G284" s="188">
        <f t="shared" si="78"/>
        <v>1758758.5644342052</v>
      </c>
      <c r="H284" s="188">
        <f>G294*J$2/12</f>
        <v>0</v>
      </c>
      <c r="I284" s="188">
        <f t="shared" si="86"/>
        <v>0</v>
      </c>
      <c r="J284" s="188">
        <f t="shared" si="87"/>
        <v>0</v>
      </c>
      <c r="K284" s="188">
        <f t="shared" si="80"/>
        <v>0</v>
      </c>
      <c r="L284" s="188">
        <f t="shared" si="81"/>
        <v>25364.821687323572</v>
      </c>
    </row>
    <row r="285" spans="1:12">
      <c r="A285" s="114">
        <v>24</v>
      </c>
      <c r="B285" s="182">
        <f t="shared" si="82"/>
        <v>279</v>
      </c>
      <c r="C285" s="188">
        <f t="shared" si="79"/>
        <v>1758758.5644342052</v>
      </c>
      <c r="D285" s="188">
        <f t="shared" si="76"/>
        <v>7328.1606851425213</v>
      </c>
      <c r="E285" s="188">
        <f t="shared" si="83"/>
        <v>18036.661002181052</v>
      </c>
      <c r="F285" s="188">
        <f t="shared" si="77"/>
        <v>25364.821687323572</v>
      </c>
      <c r="G285" s="188">
        <f t="shared" si="78"/>
        <v>1740721.9034320242</v>
      </c>
      <c r="H285" s="188">
        <f>G294*J$2/12</f>
        <v>0</v>
      </c>
      <c r="I285" s="188">
        <f t="shared" si="86"/>
        <v>0</v>
      </c>
      <c r="J285" s="188">
        <f t="shared" si="87"/>
        <v>0</v>
      </c>
      <c r="K285" s="188">
        <f t="shared" si="80"/>
        <v>0</v>
      </c>
      <c r="L285" s="188">
        <f t="shared" si="81"/>
        <v>25364.821687323572</v>
      </c>
    </row>
    <row r="286" spans="1:12">
      <c r="A286" s="114">
        <v>24</v>
      </c>
      <c r="B286" s="182">
        <f t="shared" si="82"/>
        <v>280</v>
      </c>
      <c r="C286" s="188">
        <f t="shared" si="79"/>
        <v>1740721.9034320242</v>
      </c>
      <c r="D286" s="188">
        <f t="shared" si="76"/>
        <v>7253.0079309667681</v>
      </c>
      <c r="E286" s="188">
        <f t="shared" si="83"/>
        <v>18111.813756356805</v>
      </c>
      <c r="F286" s="188">
        <f t="shared" si="77"/>
        <v>25364.821687323572</v>
      </c>
      <c r="G286" s="188">
        <f t="shared" si="78"/>
        <v>1722610.0896756675</v>
      </c>
      <c r="H286" s="188">
        <f>G294*J$2/12</f>
        <v>0</v>
      </c>
      <c r="I286" s="188">
        <f t="shared" si="86"/>
        <v>0</v>
      </c>
      <c r="J286" s="188">
        <f t="shared" si="87"/>
        <v>0</v>
      </c>
      <c r="K286" s="188">
        <f t="shared" si="80"/>
        <v>0</v>
      </c>
      <c r="L286" s="188">
        <f t="shared" si="81"/>
        <v>25364.821687323572</v>
      </c>
    </row>
    <row r="287" spans="1:12">
      <c r="A287" s="114">
        <v>24</v>
      </c>
      <c r="B287" s="182">
        <f t="shared" si="82"/>
        <v>281</v>
      </c>
      <c r="C287" s="188">
        <f t="shared" si="79"/>
        <v>1722610.0896756675</v>
      </c>
      <c r="D287" s="188">
        <f t="shared" si="76"/>
        <v>7177.5420403152821</v>
      </c>
      <c r="E287" s="188">
        <f t="shared" si="83"/>
        <v>18187.27964700829</v>
      </c>
      <c r="F287" s="188">
        <f t="shared" si="77"/>
        <v>25364.821687323572</v>
      </c>
      <c r="G287" s="188">
        <f t="shared" si="78"/>
        <v>1704422.8100286592</v>
      </c>
      <c r="H287" s="188">
        <f>G294*J$2/12</f>
        <v>0</v>
      </c>
      <c r="I287" s="188">
        <f t="shared" si="86"/>
        <v>0</v>
      </c>
      <c r="J287" s="188">
        <f t="shared" si="87"/>
        <v>0</v>
      </c>
      <c r="K287" s="188">
        <f t="shared" si="80"/>
        <v>0</v>
      </c>
      <c r="L287" s="188">
        <f t="shared" si="81"/>
        <v>25364.821687323572</v>
      </c>
    </row>
    <row r="288" spans="1:12">
      <c r="A288" s="114">
        <v>24</v>
      </c>
      <c r="B288" s="182">
        <f t="shared" si="82"/>
        <v>282</v>
      </c>
      <c r="C288" s="188">
        <f t="shared" si="79"/>
        <v>1704422.8100286592</v>
      </c>
      <c r="D288" s="188">
        <f t="shared" si="76"/>
        <v>7101.7617084527474</v>
      </c>
      <c r="E288" s="188">
        <f t="shared" si="83"/>
        <v>18263.059978870824</v>
      </c>
      <c r="F288" s="188">
        <f t="shared" si="77"/>
        <v>25364.821687323572</v>
      </c>
      <c r="G288" s="188">
        <f t="shared" si="78"/>
        <v>1686159.7500497883</v>
      </c>
      <c r="H288" s="188">
        <f>G294*J$2/12</f>
        <v>0</v>
      </c>
      <c r="I288" s="188">
        <f t="shared" si="86"/>
        <v>0</v>
      </c>
      <c r="J288" s="188">
        <f t="shared" si="87"/>
        <v>0</v>
      </c>
      <c r="K288" s="188">
        <f t="shared" si="80"/>
        <v>0</v>
      </c>
      <c r="L288" s="188">
        <f t="shared" si="81"/>
        <v>25364.821687323572</v>
      </c>
    </row>
    <row r="289" spans="1:12">
      <c r="A289" s="114">
        <v>24</v>
      </c>
      <c r="B289" s="182">
        <f t="shared" si="82"/>
        <v>283</v>
      </c>
      <c r="C289" s="188">
        <f t="shared" si="79"/>
        <v>1686159.7500497883</v>
      </c>
      <c r="D289" s="188">
        <f t="shared" si="76"/>
        <v>7025.6656252074508</v>
      </c>
      <c r="E289" s="188">
        <f t="shared" si="83"/>
        <v>18339.156062116122</v>
      </c>
      <c r="F289" s="188">
        <f t="shared" si="77"/>
        <v>25364.821687323572</v>
      </c>
      <c r="G289" s="188">
        <f t="shared" si="78"/>
        <v>1667820.5939876721</v>
      </c>
      <c r="H289" s="188">
        <f>G294*J$2/12</f>
        <v>0</v>
      </c>
      <c r="I289" s="188">
        <f t="shared" si="86"/>
        <v>0</v>
      </c>
      <c r="J289" s="188">
        <f t="shared" si="87"/>
        <v>0</v>
      </c>
      <c r="K289" s="188">
        <f t="shared" si="80"/>
        <v>0</v>
      </c>
      <c r="L289" s="188">
        <f t="shared" si="81"/>
        <v>25364.821687323572</v>
      </c>
    </row>
    <row r="290" spans="1:12">
      <c r="A290" s="114">
        <v>24</v>
      </c>
      <c r="B290" s="182">
        <f t="shared" si="82"/>
        <v>284</v>
      </c>
      <c r="C290" s="188">
        <f t="shared" si="79"/>
        <v>1667820.5939876721</v>
      </c>
      <c r="D290" s="188">
        <f t="shared" si="76"/>
        <v>6949.2524749486338</v>
      </c>
      <c r="E290" s="188">
        <f t="shared" si="83"/>
        <v>18415.56921237494</v>
      </c>
      <c r="F290" s="188">
        <f t="shared" si="77"/>
        <v>25364.821687323572</v>
      </c>
      <c r="G290" s="188">
        <f t="shared" si="78"/>
        <v>1649405.0247752971</v>
      </c>
      <c r="H290" s="188">
        <f>G294*J$2/12</f>
        <v>0</v>
      </c>
      <c r="I290" s="188">
        <f t="shared" si="86"/>
        <v>0</v>
      </c>
      <c r="J290" s="188">
        <f t="shared" si="87"/>
        <v>0</v>
      </c>
      <c r="K290" s="188">
        <f t="shared" si="80"/>
        <v>0</v>
      </c>
      <c r="L290" s="188">
        <f t="shared" si="81"/>
        <v>25364.821687323572</v>
      </c>
    </row>
    <row r="291" spans="1:12">
      <c r="A291" s="114">
        <v>24</v>
      </c>
      <c r="B291" s="182">
        <f t="shared" si="82"/>
        <v>285</v>
      </c>
      <c r="C291" s="188">
        <f t="shared" si="79"/>
        <v>1649405.0247752971</v>
      </c>
      <c r="D291" s="188">
        <f t="shared" si="76"/>
        <v>6872.5209365637384</v>
      </c>
      <c r="E291" s="188">
        <f t="shared" si="83"/>
        <v>18492.300750759834</v>
      </c>
      <c r="F291" s="188">
        <f t="shared" si="77"/>
        <v>25364.821687323572</v>
      </c>
      <c r="G291" s="188">
        <f t="shared" si="78"/>
        <v>1630912.7240245373</v>
      </c>
      <c r="H291" s="188">
        <f>G294*J$2/12</f>
        <v>0</v>
      </c>
      <c r="I291" s="188">
        <f t="shared" si="86"/>
        <v>0</v>
      </c>
      <c r="J291" s="188">
        <f t="shared" si="87"/>
        <v>0</v>
      </c>
      <c r="K291" s="188">
        <f t="shared" si="80"/>
        <v>0</v>
      </c>
      <c r="L291" s="188">
        <f t="shared" si="81"/>
        <v>25364.821687323572</v>
      </c>
    </row>
    <row r="292" spans="1:12">
      <c r="A292" s="114">
        <v>24</v>
      </c>
      <c r="B292" s="182">
        <f t="shared" si="82"/>
        <v>286</v>
      </c>
      <c r="C292" s="188">
        <f t="shared" si="79"/>
        <v>1630912.7240245373</v>
      </c>
      <c r="D292" s="188">
        <f t="shared" si="76"/>
        <v>6795.4696834355718</v>
      </c>
      <c r="E292" s="188">
        <f t="shared" si="83"/>
        <v>18569.352003888001</v>
      </c>
      <c r="F292" s="188">
        <f t="shared" si="77"/>
        <v>25364.821687323572</v>
      </c>
      <c r="G292" s="188">
        <f t="shared" si="78"/>
        <v>1612343.3720206493</v>
      </c>
      <c r="H292" s="188">
        <f>G294*J$2/12</f>
        <v>0</v>
      </c>
      <c r="I292" s="188">
        <f t="shared" si="86"/>
        <v>0</v>
      </c>
      <c r="J292" s="188">
        <f t="shared" si="87"/>
        <v>0</v>
      </c>
      <c r="K292" s="188">
        <f t="shared" si="80"/>
        <v>0</v>
      </c>
      <c r="L292" s="188">
        <f t="shared" si="81"/>
        <v>25364.821687323572</v>
      </c>
    </row>
    <row r="293" spans="1:12">
      <c r="A293" s="114">
        <v>24</v>
      </c>
      <c r="B293" s="182">
        <f t="shared" si="82"/>
        <v>287</v>
      </c>
      <c r="C293" s="188">
        <f t="shared" si="79"/>
        <v>1612343.3720206493</v>
      </c>
      <c r="D293" s="188">
        <f t="shared" si="76"/>
        <v>6718.0973834193719</v>
      </c>
      <c r="E293" s="188">
        <f t="shared" si="83"/>
        <v>18646.7243039042</v>
      </c>
      <c r="F293" s="188">
        <f t="shared" si="77"/>
        <v>25364.821687323572</v>
      </c>
      <c r="G293" s="188">
        <f t="shared" si="78"/>
        <v>1593696.647716745</v>
      </c>
      <c r="H293" s="188">
        <f>G294*J$2/12</f>
        <v>0</v>
      </c>
      <c r="I293" s="188">
        <f t="shared" si="86"/>
        <v>0</v>
      </c>
      <c r="J293" s="188">
        <f t="shared" si="87"/>
        <v>0</v>
      </c>
      <c r="K293" s="188">
        <f t="shared" si="80"/>
        <v>0</v>
      </c>
      <c r="L293" s="188">
        <f t="shared" si="81"/>
        <v>25364.821687323572</v>
      </c>
    </row>
    <row r="294" spans="1:12">
      <c r="A294" s="238">
        <v>24</v>
      </c>
      <c r="B294" s="239">
        <f t="shared" si="82"/>
        <v>288</v>
      </c>
      <c r="C294" s="240">
        <f t="shared" si="79"/>
        <v>1593696.647716745</v>
      </c>
      <c r="D294" s="240">
        <f t="shared" si="76"/>
        <v>6640.402698819772</v>
      </c>
      <c r="E294" s="240">
        <f t="shared" si="83"/>
        <v>18724.418988503799</v>
      </c>
      <c r="F294" s="240">
        <f t="shared" si="77"/>
        <v>25364.821687323572</v>
      </c>
      <c r="G294" s="240">
        <f t="shared" si="78"/>
        <v>1574972.2287282413</v>
      </c>
      <c r="H294" s="240">
        <f>G294*J$2/12</f>
        <v>0</v>
      </c>
      <c r="I294" s="240">
        <f t="shared" si="86"/>
        <v>0</v>
      </c>
      <c r="J294" s="240">
        <f t="shared" si="87"/>
        <v>0</v>
      </c>
      <c r="K294" s="240">
        <f t="shared" si="80"/>
        <v>0</v>
      </c>
      <c r="L294" s="240">
        <f t="shared" si="81"/>
        <v>25364.821687323572</v>
      </c>
    </row>
    <row r="295" spans="1:12">
      <c r="A295" s="114">
        <v>25</v>
      </c>
      <c r="B295" s="182">
        <f t="shared" si="82"/>
        <v>289</v>
      </c>
      <c r="C295" s="188">
        <f t="shared" si="79"/>
        <v>1574972.2287282413</v>
      </c>
      <c r="D295" s="188">
        <f t="shared" si="76"/>
        <v>6562.3842863676728</v>
      </c>
      <c r="E295" s="188">
        <f t="shared" si="83"/>
        <v>18802.4374009559</v>
      </c>
      <c r="F295" s="188">
        <f t="shared" si="77"/>
        <v>25364.821687323572</v>
      </c>
      <c r="G295" s="188">
        <f t="shared" si="78"/>
        <v>1556169.7913272853</v>
      </c>
      <c r="H295" s="188">
        <f>G306*J$2/12</f>
        <v>0</v>
      </c>
      <c r="I295" s="188">
        <f t="shared" ref="I295:I306" si="88">(($C$295*$I$4)/12)</f>
        <v>0</v>
      </c>
      <c r="J295" s="188">
        <f t="shared" ref="J295:J306" si="89">(($C$295*$J$4)/12)</f>
        <v>0</v>
      </c>
      <c r="K295" s="188">
        <f t="shared" si="80"/>
        <v>0</v>
      </c>
      <c r="L295" s="188">
        <f t="shared" si="81"/>
        <v>25364.821687323572</v>
      </c>
    </row>
    <row r="296" spans="1:12">
      <c r="A296" s="114">
        <v>25</v>
      </c>
      <c r="B296" s="182">
        <f t="shared" si="82"/>
        <v>290</v>
      </c>
      <c r="C296" s="188">
        <f t="shared" si="79"/>
        <v>1556169.7913272853</v>
      </c>
      <c r="D296" s="188">
        <f t="shared" si="76"/>
        <v>6484.0407971970226</v>
      </c>
      <c r="E296" s="188">
        <f t="shared" si="83"/>
        <v>18880.780890126549</v>
      </c>
      <c r="F296" s="188">
        <f t="shared" si="77"/>
        <v>25364.821687323572</v>
      </c>
      <c r="G296" s="188">
        <f t="shared" si="78"/>
        <v>1537289.0104371589</v>
      </c>
      <c r="H296" s="188">
        <f>G306*J$2/12</f>
        <v>0</v>
      </c>
      <c r="I296" s="188">
        <f t="shared" si="88"/>
        <v>0</v>
      </c>
      <c r="J296" s="188">
        <f t="shared" si="89"/>
        <v>0</v>
      </c>
      <c r="K296" s="188">
        <f t="shared" si="80"/>
        <v>0</v>
      </c>
      <c r="L296" s="188">
        <f t="shared" si="81"/>
        <v>25364.821687323572</v>
      </c>
    </row>
    <row r="297" spans="1:12">
      <c r="A297" s="114">
        <v>25</v>
      </c>
      <c r="B297" s="182">
        <f t="shared" si="82"/>
        <v>291</v>
      </c>
      <c r="C297" s="188">
        <f t="shared" si="79"/>
        <v>1537289.0104371589</v>
      </c>
      <c r="D297" s="188">
        <f t="shared" si="76"/>
        <v>6405.3708768214956</v>
      </c>
      <c r="E297" s="188">
        <f t="shared" si="83"/>
        <v>18959.450810502076</v>
      </c>
      <c r="F297" s="188">
        <f t="shared" si="77"/>
        <v>25364.821687323572</v>
      </c>
      <c r="G297" s="188">
        <f t="shared" si="78"/>
        <v>1518329.5596266568</v>
      </c>
      <c r="H297" s="188">
        <f>G306*J$2/12</f>
        <v>0</v>
      </c>
      <c r="I297" s="188">
        <f t="shared" si="88"/>
        <v>0</v>
      </c>
      <c r="J297" s="188">
        <f t="shared" si="89"/>
        <v>0</v>
      </c>
      <c r="K297" s="188">
        <f t="shared" si="80"/>
        <v>0</v>
      </c>
      <c r="L297" s="188">
        <f t="shared" si="81"/>
        <v>25364.821687323572</v>
      </c>
    </row>
    <row r="298" spans="1:12">
      <c r="A298" s="114">
        <v>25</v>
      </c>
      <c r="B298" s="182">
        <f t="shared" si="82"/>
        <v>292</v>
      </c>
      <c r="C298" s="188">
        <f t="shared" si="79"/>
        <v>1518329.5596266568</v>
      </c>
      <c r="D298" s="188">
        <f t="shared" si="76"/>
        <v>6326.3731651110711</v>
      </c>
      <c r="E298" s="188">
        <f t="shared" si="83"/>
        <v>19038.4485222125</v>
      </c>
      <c r="F298" s="188">
        <f t="shared" si="77"/>
        <v>25364.821687323572</v>
      </c>
      <c r="G298" s="188">
        <f t="shared" si="78"/>
        <v>1499291.1111044444</v>
      </c>
      <c r="H298" s="188">
        <f>G306*J$2/12</f>
        <v>0</v>
      </c>
      <c r="I298" s="188">
        <f t="shared" si="88"/>
        <v>0</v>
      </c>
      <c r="J298" s="188">
        <f t="shared" si="89"/>
        <v>0</v>
      </c>
      <c r="K298" s="188">
        <f t="shared" si="80"/>
        <v>0</v>
      </c>
      <c r="L298" s="188">
        <f t="shared" si="81"/>
        <v>25364.821687323572</v>
      </c>
    </row>
    <row r="299" spans="1:12">
      <c r="A299" s="114">
        <v>25</v>
      </c>
      <c r="B299" s="182">
        <f t="shared" si="82"/>
        <v>293</v>
      </c>
      <c r="C299" s="188">
        <f t="shared" si="79"/>
        <v>1499291.1111044444</v>
      </c>
      <c r="D299" s="188">
        <f t="shared" si="76"/>
        <v>6247.0462962685187</v>
      </c>
      <c r="E299" s="188">
        <f t="shared" si="83"/>
        <v>19117.775391055053</v>
      </c>
      <c r="F299" s="188">
        <f t="shared" si="77"/>
        <v>25364.821687323572</v>
      </c>
      <c r="G299" s="188">
        <f t="shared" si="78"/>
        <v>1480173.3357133893</v>
      </c>
      <c r="H299" s="188">
        <f>G306*J$2/12</f>
        <v>0</v>
      </c>
      <c r="I299" s="188">
        <f t="shared" si="88"/>
        <v>0</v>
      </c>
      <c r="J299" s="188">
        <f t="shared" si="89"/>
        <v>0</v>
      </c>
      <c r="K299" s="188">
        <f t="shared" si="80"/>
        <v>0</v>
      </c>
      <c r="L299" s="188">
        <f t="shared" si="81"/>
        <v>25364.821687323572</v>
      </c>
    </row>
    <row r="300" spans="1:12">
      <c r="A300" s="114">
        <v>25</v>
      </c>
      <c r="B300" s="182">
        <f t="shared" si="82"/>
        <v>294</v>
      </c>
      <c r="C300" s="188">
        <f t="shared" si="79"/>
        <v>1480173.3357133893</v>
      </c>
      <c r="D300" s="188">
        <f t="shared" si="76"/>
        <v>6167.3888988057888</v>
      </c>
      <c r="E300" s="188">
        <f t="shared" si="83"/>
        <v>19197.432788517785</v>
      </c>
      <c r="F300" s="188">
        <f t="shared" si="77"/>
        <v>25364.821687323572</v>
      </c>
      <c r="G300" s="188">
        <f t="shared" si="78"/>
        <v>1460975.9029248715</v>
      </c>
      <c r="H300" s="188">
        <f>G306*J$2/12</f>
        <v>0</v>
      </c>
      <c r="I300" s="188">
        <f t="shared" si="88"/>
        <v>0</v>
      </c>
      <c r="J300" s="188">
        <f t="shared" si="89"/>
        <v>0</v>
      </c>
      <c r="K300" s="188">
        <f t="shared" si="80"/>
        <v>0</v>
      </c>
      <c r="L300" s="188">
        <f t="shared" si="81"/>
        <v>25364.821687323572</v>
      </c>
    </row>
    <row r="301" spans="1:12">
      <c r="A301" s="114">
        <v>25</v>
      </c>
      <c r="B301" s="182">
        <f t="shared" si="82"/>
        <v>295</v>
      </c>
      <c r="C301" s="188">
        <f t="shared" si="79"/>
        <v>1460975.9029248715</v>
      </c>
      <c r="D301" s="188">
        <f t="shared" si="76"/>
        <v>6087.3995955202981</v>
      </c>
      <c r="E301" s="188">
        <f t="shared" si="83"/>
        <v>19277.422091803273</v>
      </c>
      <c r="F301" s="188">
        <f t="shared" si="77"/>
        <v>25364.821687323572</v>
      </c>
      <c r="G301" s="188">
        <f t="shared" si="78"/>
        <v>1441698.4808330683</v>
      </c>
      <c r="H301" s="188">
        <f>G306*J$2/12</f>
        <v>0</v>
      </c>
      <c r="I301" s="188">
        <f t="shared" si="88"/>
        <v>0</v>
      </c>
      <c r="J301" s="188">
        <f t="shared" si="89"/>
        <v>0</v>
      </c>
      <c r="K301" s="188">
        <f t="shared" si="80"/>
        <v>0</v>
      </c>
      <c r="L301" s="188">
        <f t="shared" si="81"/>
        <v>25364.821687323572</v>
      </c>
    </row>
    <row r="302" spans="1:12">
      <c r="A302" s="114">
        <v>25</v>
      </c>
      <c r="B302" s="182">
        <f t="shared" si="82"/>
        <v>296</v>
      </c>
      <c r="C302" s="188">
        <f t="shared" si="79"/>
        <v>1441698.4808330683</v>
      </c>
      <c r="D302" s="188">
        <f t="shared" si="76"/>
        <v>6007.0770034711177</v>
      </c>
      <c r="E302" s="188">
        <f t="shared" si="83"/>
        <v>19357.744683852456</v>
      </c>
      <c r="F302" s="188">
        <f t="shared" si="77"/>
        <v>25364.821687323572</v>
      </c>
      <c r="G302" s="188">
        <f t="shared" si="78"/>
        <v>1422340.7361492158</v>
      </c>
      <c r="H302" s="188">
        <f>G306*J$2/12</f>
        <v>0</v>
      </c>
      <c r="I302" s="188">
        <f t="shared" si="88"/>
        <v>0</v>
      </c>
      <c r="J302" s="188">
        <f t="shared" si="89"/>
        <v>0</v>
      </c>
      <c r="K302" s="188">
        <f t="shared" si="80"/>
        <v>0</v>
      </c>
      <c r="L302" s="188">
        <f t="shared" si="81"/>
        <v>25364.821687323572</v>
      </c>
    </row>
    <row r="303" spans="1:12">
      <c r="A303" s="114">
        <v>25</v>
      </c>
      <c r="B303" s="182">
        <f t="shared" si="82"/>
        <v>297</v>
      </c>
      <c r="C303" s="188">
        <f t="shared" si="79"/>
        <v>1422340.7361492158</v>
      </c>
      <c r="D303" s="188">
        <f t="shared" si="76"/>
        <v>5926.4197339550665</v>
      </c>
      <c r="E303" s="188">
        <f t="shared" si="83"/>
        <v>19438.401953368506</v>
      </c>
      <c r="F303" s="188">
        <f t="shared" si="77"/>
        <v>25364.821687323572</v>
      </c>
      <c r="G303" s="188">
        <f t="shared" si="78"/>
        <v>1402902.3341958474</v>
      </c>
      <c r="H303" s="188">
        <f>G306*J$2/12</f>
        <v>0</v>
      </c>
      <c r="I303" s="188">
        <f t="shared" si="88"/>
        <v>0</v>
      </c>
      <c r="J303" s="188">
        <f t="shared" si="89"/>
        <v>0</v>
      </c>
      <c r="K303" s="188">
        <f t="shared" si="80"/>
        <v>0</v>
      </c>
      <c r="L303" s="188">
        <f t="shared" si="81"/>
        <v>25364.821687323572</v>
      </c>
    </row>
    <row r="304" spans="1:12">
      <c r="A304" s="114">
        <v>25</v>
      </c>
      <c r="B304" s="182">
        <f t="shared" si="82"/>
        <v>298</v>
      </c>
      <c r="C304" s="188">
        <f t="shared" si="79"/>
        <v>1402902.3341958474</v>
      </c>
      <c r="D304" s="188">
        <f t="shared" si="76"/>
        <v>5845.4263924826982</v>
      </c>
      <c r="E304" s="188">
        <f t="shared" si="83"/>
        <v>19519.395294840873</v>
      </c>
      <c r="F304" s="188">
        <f t="shared" si="77"/>
        <v>25364.821687323572</v>
      </c>
      <c r="G304" s="188">
        <f t="shared" si="78"/>
        <v>1383382.9389010065</v>
      </c>
      <c r="H304" s="188">
        <f>G306*J$2/12</f>
        <v>0</v>
      </c>
      <c r="I304" s="188">
        <f t="shared" si="88"/>
        <v>0</v>
      </c>
      <c r="J304" s="188">
        <f t="shared" si="89"/>
        <v>0</v>
      </c>
      <c r="K304" s="188">
        <f t="shared" si="80"/>
        <v>0</v>
      </c>
      <c r="L304" s="188">
        <f t="shared" si="81"/>
        <v>25364.821687323572</v>
      </c>
    </row>
    <row r="305" spans="1:12">
      <c r="A305" s="114">
        <v>25</v>
      </c>
      <c r="B305" s="182">
        <f t="shared" si="82"/>
        <v>299</v>
      </c>
      <c r="C305" s="188">
        <f t="shared" si="79"/>
        <v>1383382.9389010065</v>
      </c>
      <c r="D305" s="188">
        <f t="shared" si="76"/>
        <v>5764.0955787541934</v>
      </c>
      <c r="E305" s="188">
        <f t="shared" si="83"/>
        <v>19600.726108569379</v>
      </c>
      <c r="F305" s="188">
        <f t="shared" si="77"/>
        <v>25364.821687323572</v>
      </c>
      <c r="G305" s="188">
        <f t="shared" si="78"/>
        <v>1363782.2127924371</v>
      </c>
      <c r="H305" s="188">
        <f>G306*J$2/12</f>
        <v>0</v>
      </c>
      <c r="I305" s="188">
        <f t="shared" si="88"/>
        <v>0</v>
      </c>
      <c r="J305" s="188">
        <f t="shared" si="89"/>
        <v>0</v>
      </c>
      <c r="K305" s="188">
        <f t="shared" si="80"/>
        <v>0</v>
      </c>
      <c r="L305" s="188">
        <f t="shared" si="81"/>
        <v>25364.821687323572</v>
      </c>
    </row>
    <row r="306" spans="1:12">
      <c r="A306" s="238">
        <v>25</v>
      </c>
      <c r="B306" s="239">
        <f t="shared" si="82"/>
        <v>300</v>
      </c>
      <c r="C306" s="240">
        <f t="shared" si="79"/>
        <v>1363782.2127924371</v>
      </c>
      <c r="D306" s="240">
        <f t="shared" si="76"/>
        <v>5682.4258866351547</v>
      </c>
      <c r="E306" s="240">
        <f t="shared" si="83"/>
        <v>19682.395800688417</v>
      </c>
      <c r="F306" s="240">
        <f t="shared" si="77"/>
        <v>25364.821687323572</v>
      </c>
      <c r="G306" s="240">
        <f t="shared" si="78"/>
        <v>1344099.8169917488</v>
      </c>
      <c r="H306" s="240">
        <f>G306*J$2/12</f>
        <v>0</v>
      </c>
      <c r="I306" s="240">
        <f t="shared" si="88"/>
        <v>0</v>
      </c>
      <c r="J306" s="240">
        <f t="shared" si="89"/>
        <v>0</v>
      </c>
      <c r="K306" s="240">
        <f t="shared" si="80"/>
        <v>0</v>
      </c>
      <c r="L306" s="240">
        <f t="shared" si="81"/>
        <v>25364.821687323572</v>
      </c>
    </row>
    <row r="307" spans="1:12">
      <c r="A307" s="114">
        <v>26</v>
      </c>
      <c r="B307" s="182">
        <f t="shared" si="82"/>
        <v>301</v>
      </c>
      <c r="C307" s="188">
        <f t="shared" si="79"/>
        <v>1344099.8169917488</v>
      </c>
      <c r="D307" s="188">
        <f t="shared" si="76"/>
        <v>5600.4159041322864</v>
      </c>
      <c r="E307" s="188">
        <f t="shared" si="83"/>
        <v>19764.405783191287</v>
      </c>
      <c r="F307" s="188">
        <f t="shared" si="77"/>
        <v>25364.821687323572</v>
      </c>
      <c r="G307" s="188">
        <f t="shared" si="78"/>
        <v>1324335.4112085574</v>
      </c>
      <c r="H307" s="188">
        <f>G318*J$2/12</f>
        <v>0</v>
      </c>
      <c r="I307" s="188">
        <f t="shared" ref="I307:I318" si="90">(($C$307*$I$4)/12)</f>
        <v>0</v>
      </c>
      <c r="J307" s="188">
        <f t="shared" ref="J307:J318" si="91">(($C$307*$J$4)/12)</f>
        <v>0</v>
      </c>
      <c r="K307" s="188">
        <f t="shared" si="80"/>
        <v>0</v>
      </c>
      <c r="L307" s="188">
        <f t="shared" si="81"/>
        <v>25364.821687323572</v>
      </c>
    </row>
    <row r="308" spans="1:12">
      <c r="A308" s="114">
        <v>26</v>
      </c>
      <c r="B308" s="182">
        <f t="shared" si="82"/>
        <v>302</v>
      </c>
      <c r="C308" s="188">
        <f t="shared" si="79"/>
        <v>1324335.4112085574</v>
      </c>
      <c r="D308" s="188">
        <f t="shared" si="76"/>
        <v>5518.0642133689898</v>
      </c>
      <c r="E308" s="188">
        <f t="shared" si="83"/>
        <v>19846.757473954582</v>
      </c>
      <c r="F308" s="188">
        <f t="shared" si="77"/>
        <v>25364.821687323572</v>
      </c>
      <c r="G308" s="188">
        <f t="shared" si="78"/>
        <v>1304488.653734603</v>
      </c>
      <c r="H308" s="188">
        <f>G318*J$2/12</f>
        <v>0</v>
      </c>
      <c r="I308" s="188">
        <f t="shared" si="90"/>
        <v>0</v>
      </c>
      <c r="J308" s="188">
        <f t="shared" si="91"/>
        <v>0</v>
      </c>
      <c r="K308" s="188">
        <f t="shared" si="80"/>
        <v>0</v>
      </c>
      <c r="L308" s="188">
        <f t="shared" si="81"/>
        <v>25364.821687323572</v>
      </c>
    </row>
    <row r="309" spans="1:12">
      <c r="A309" s="114">
        <v>26</v>
      </c>
      <c r="B309" s="182">
        <f t="shared" si="82"/>
        <v>303</v>
      </c>
      <c r="C309" s="188">
        <f t="shared" si="79"/>
        <v>1304488.653734603</v>
      </c>
      <c r="D309" s="188">
        <f t="shared" si="76"/>
        <v>5435.3693905608461</v>
      </c>
      <c r="E309" s="188">
        <f t="shared" si="83"/>
        <v>19929.452296762727</v>
      </c>
      <c r="F309" s="188">
        <f t="shared" si="77"/>
        <v>25364.821687323572</v>
      </c>
      <c r="G309" s="188">
        <f t="shared" si="78"/>
        <v>1284559.2014378402</v>
      </c>
      <c r="H309" s="188">
        <f>G318*J$2/12</f>
        <v>0</v>
      </c>
      <c r="I309" s="188">
        <f t="shared" si="90"/>
        <v>0</v>
      </c>
      <c r="J309" s="188">
        <f t="shared" si="91"/>
        <v>0</v>
      </c>
      <c r="K309" s="188">
        <f t="shared" si="80"/>
        <v>0</v>
      </c>
      <c r="L309" s="188">
        <f t="shared" si="81"/>
        <v>25364.821687323572</v>
      </c>
    </row>
    <row r="310" spans="1:12">
      <c r="A310" s="114">
        <v>26</v>
      </c>
      <c r="B310" s="182">
        <f t="shared" si="82"/>
        <v>304</v>
      </c>
      <c r="C310" s="188">
        <f t="shared" si="79"/>
        <v>1284559.2014378402</v>
      </c>
      <c r="D310" s="188">
        <f t="shared" si="76"/>
        <v>5352.3300059910007</v>
      </c>
      <c r="E310" s="188">
        <f t="shared" si="83"/>
        <v>20012.491681332573</v>
      </c>
      <c r="F310" s="188">
        <f t="shared" si="77"/>
        <v>25364.821687323572</v>
      </c>
      <c r="G310" s="188">
        <f t="shared" si="78"/>
        <v>1264546.7097565078</v>
      </c>
      <c r="H310" s="188">
        <f>G318*J$2/12</f>
        <v>0</v>
      </c>
      <c r="I310" s="188">
        <f t="shared" si="90"/>
        <v>0</v>
      </c>
      <c r="J310" s="188">
        <f t="shared" si="91"/>
        <v>0</v>
      </c>
      <c r="K310" s="188">
        <f t="shared" si="80"/>
        <v>0</v>
      </c>
      <c r="L310" s="188">
        <f t="shared" si="81"/>
        <v>25364.821687323572</v>
      </c>
    </row>
    <row r="311" spans="1:12">
      <c r="A311" s="114">
        <v>26</v>
      </c>
      <c r="B311" s="182">
        <f t="shared" si="82"/>
        <v>305</v>
      </c>
      <c r="C311" s="188">
        <f t="shared" si="79"/>
        <v>1264546.7097565078</v>
      </c>
      <c r="D311" s="188">
        <f t="shared" si="76"/>
        <v>5268.9446239854487</v>
      </c>
      <c r="E311" s="188">
        <f t="shared" si="83"/>
        <v>20095.877063338125</v>
      </c>
      <c r="F311" s="188">
        <f t="shared" si="77"/>
        <v>25364.821687323572</v>
      </c>
      <c r="G311" s="188">
        <f t="shared" si="78"/>
        <v>1244450.8326931696</v>
      </c>
      <c r="H311" s="188">
        <f>G318*J$2/12</f>
        <v>0</v>
      </c>
      <c r="I311" s="188">
        <f t="shared" si="90"/>
        <v>0</v>
      </c>
      <c r="J311" s="188">
        <f t="shared" si="91"/>
        <v>0</v>
      </c>
      <c r="K311" s="188">
        <f t="shared" si="80"/>
        <v>0</v>
      </c>
      <c r="L311" s="188">
        <f t="shared" si="81"/>
        <v>25364.821687323572</v>
      </c>
    </row>
    <row r="312" spans="1:12">
      <c r="A312" s="114">
        <v>26</v>
      </c>
      <c r="B312" s="182">
        <f t="shared" si="82"/>
        <v>306</v>
      </c>
      <c r="C312" s="188">
        <f t="shared" si="79"/>
        <v>1244450.8326931696</v>
      </c>
      <c r="D312" s="188">
        <f t="shared" si="76"/>
        <v>5185.2118028882069</v>
      </c>
      <c r="E312" s="188">
        <f t="shared" si="83"/>
        <v>20179.609884435366</v>
      </c>
      <c r="F312" s="188">
        <f t="shared" si="77"/>
        <v>25364.821687323572</v>
      </c>
      <c r="G312" s="188">
        <f t="shared" si="78"/>
        <v>1224271.2228087343</v>
      </c>
      <c r="H312" s="188">
        <f>G318*J$2/12</f>
        <v>0</v>
      </c>
      <c r="I312" s="188">
        <f t="shared" si="90"/>
        <v>0</v>
      </c>
      <c r="J312" s="188">
        <f t="shared" si="91"/>
        <v>0</v>
      </c>
      <c r="K312" s="188">
        <f t="shared" si="80"/>
        <v>0</v>
      </c>
      <c r="L312" s="188">
        <f t="shared" si="81"/>
        <v>25364.821687323572</v>
      </c>
    </row>
    <row r="313" spans="1:12">
      <c r="A313" s="114">
        <v>26</v>
      </c>
      <c r="B313" s="182">
        <f t="shared" si="82"/>
        <v>307</v>
      </c>
      <c r="C313" s="188">
        <f t="shared" si="79"/>
        <v>1224271.2228087343</v>
      </c>
      <c r="D313" s="188">
        <f t="shared" si="76"/>
        <v>5101.130095036393</v>
      </c>
      <c r="E313" s="188">
        <f t="shared" si="83"/>
        <v>20263.691592287178</v>
      </c>
      <c r="F313" s="188">
        <f t="shared" si="77"/>
        <v>25364.821687323572</v>
      </c>
      <c r="G313" s="188">
        <f t="shared" si="78"/>
        <v>1204007.531216447</v>
      </c>
      <c r="H313" s="188">
        <f>G318*J$2/12</f>
        <v>0</v>
      </c>
      <c r="I313" s="188">
        <f t="shared" si="90"/>
        <v>0</v>
      </c>
      <c r="J313" s="188">
        <f t="shared" si="91"/>
        <v>0</v>
      </c>
      <c r="K313" s="188">
        <f t="shared" si="80"/>
        <v>0</v>
      </c>
      <c r="L313" s="188">
        <f t="shared" si="81"/>
        <v>25364.821687323572</v>
      </c>
    </row>
    <row r="314" spans="1:12">
      <c r="A314" s="114">
        <v>26</v>
      </c>
      <c r="B314" s="182">
        <f t="shared" si="82"/>
        <v>308</v>
      </c>
      <c r="C314" s="188">
        <f t="shared" si="79"/>
        <v>1204007.531216447</v>
      </c>
      <c r="D314" s="188">
        <f t="shared" si="76"/>
        <v>5016.6980467351959</v>
      </c>
      <c r="E314" s="188">
        <f t="shared" si="83"/>
        <v>20348.123640588376</v>
      </c>
      <c r="F314" s="188">
        <f t="shared" si="77"/>
        <v>25364.821687323572</v>
      </c>
      <c r="G314" s="188">
        <f t="shared" si="78"/>
        <v>1183659.4075758585</v>
      </c>
      <c r="H314" s="188">
        <f>G318*J$2/12</f>
        <v>0</v>
      </c>
      <c r="I314" s="188">
        <f t="shared" si="90"/>
        <v>0</v>
      </c>
      <c r="J314" s="188">
        <f t="shared" si="91"/>
        <v>0</v>
      </c>
      <c r="K314" s="188">
        <f t="shared" si="80"/>
        <v>0</v>
      </c>
      <c r="L314" s="188">
        <f t="shared" si="81"/>
        <v>25364.821687323572</v>
      </c>
    </row>
    <row r="315" spans="1:12">
      <c r="A315" s="114">
        <v>26</v>
      </c>
      <c r="B315" s="182">
        <f t="shared" si="82"/>
        <v>309</v>
      </c>
      <c r="C315" s="188">
        <f t="shared" si="79"/>
        <v>1183659.4075758585</v>
      </c>
      <c r="D315" s="188">
        <f t="shared" si="76"/>
        <v>4931.9141982327446</v>
      </c>
      <c r="E315" s="188">
        <f t="shared" si="83"/>
        <v>20432.907489090827</v>
      </c>
      <c r="F315" s="188">
        <f t="shared" si="77"/>
        <v>25364.821687323572</v>
      </c>
      <c r="G315" s="188">
        <f t="shared" si="78"/>
        <v>1163226.5000867676</v>
      </c>
      <c r="H315" s="188">
        <f>G318*J$2/12</f>
        <v>0</v>
      </c>
      <c r="I315" s="188">
        <f t="shared" si="90"/>
        <v>0</v>
      </c>
      <c r="J315" s="188">
        <f t="shared" si="91"/>
        <v>0</v>
      </c>
      <c r="K315" s="188">
        <f t="shared" si="80"/>
        <v>0</v>
      </c>
      <c r="L315" s="188">
        <f t="shared" si="81"/>
        <v>25364.821687323572</v>
      </c>
    </row>
    <row r="316" spans="1:12">
      <c r="A316" s="114">
        <v>26</v>
      </c>
      <c r="B316" s="182">
        <f t="shared" si="82"/>
        <v>310</v>
      </c>
      <c r="C316" s="188">
        <f t="shared" si="79"/>
        <v>1163226.5000867676</v>
      </c>
      <c r="D316" s="188">
        <f t="shared" si="76"/>
        <v>4846.7770836948648</v>
      </c>
      <c r="E316" s="188">
        <f t="shared" si="83"/>
        <v>20518.044603628707</v>
      </c>
      <c r="F316" s="188">
        <f t="shared" si="77"/>
        <v>25364.821687323572</v>
      </c>
      <c r="G316" s="188">
        <f t="shared" si="78"/>
        <v>1142708.4554831388</v>
      </c>
      <c r="H316" s="188">
        <f>G318*J$2/12</f>
        <v>0</v>
      </c>
      <c r="I316" s="188">
        <f t="shared" si="90"/>
        <v>0</v>
      </c>
      <c r="J316" s="188">
        <f t="shared" si="91"/>
        <v>0</v>
      </c>
      <c r="K316" s="188">
        <f t="shared" si="80"/>
        <v>0</v>
      </c>
      <c r="L316" s="188">
        <f t="shared" si="81"/>
        <v>25364.821687323572</v>
      </c>
    </row>
    <row r="317" spans="1:12">
      <c r="A317" s="114">
        <v>26</v>
      </c>
      <c r="B317" s="182">
        <f t="shared" si="82"/>
        <v>311</v>
      </c>
      <c r="C317" s="188">
        <f t="shared" si="79"/>
        <v>1142708.4554831388</v>
      </c>
      <c r="D317" s="188">
        <f t="shared" si="76"/>
        <v>4761.2852311797451</v>
      </c>
      <c r="E317" s="188">
        <f t="shared" si="83"/>
        <v>20603.536456143825</v>
      </c>
      <c r="F317" s="188">
        <f t="shared" si="77"/>
        <v>25364.821687323572</v>
      </c>
      <c r="G317" s="188">
        <f t="shared" si="78"/>
        <v>1122104.9190269951</v>
      </c>
      <c r="H317" s="188">
        <f>G318*J$2/12</f>
        <v>0</v>
      </c>
      <c r="I317" s="188">
        <f t="shared" si="90"/>
        <v>0</v>
      </c>
      <c r="J317" s="188">
        <f t="shared" si="91"/>
        <v>0</v>
      </c>
      <c r="K317" s="188">
        <f t="shared" si="80"/>
        <v>0</v>
      </c>
      <c r="L317" s="188">
        <f t="shared" si="81"/>
        <v>25364.821687323572</v>
      </c>
    </row>
    <row r="318" spans="1:12">
      <c r="A318" s="238">
        <v>26</v>
      </c>
      <c r="B318" s="239">
        <f t="shared" si="82"/>
        <v>312</v>
      </c>
      <c r="C318" s="240">
        <f t="shared" si="79"/>
        <v>1122104.9190269951</v>
      </c>
      <c r="D318" s="240">
        <f t="shared" si="76"/>
        <v>4675.4371626124803</v>
      </c>
      <c r="E318" s="240">
        <f t="shared" si="83"/>
        <v>20689.384524711091</v>
      </c>
      <c r="F318" s="240">
        <f t="shared" si="77"/>
        <v>25364.821687323572</v>
      </c>
      <c r="G318" s="240">
        <f t="shared" si="78"/>
        <v>1101415.5345022839</v>
      </c>
      <c r="H318" s="240">
        <f>G318*J$2/12</f>
        <v>0</v>
      </c>
      <c r="I318" s="240">
        <f t="shared" si="90"/>
        <v>0</v>
      </c>
      <c r="J318" s="240">
        <f t="shared" si="91"/>
        <v>0</v>
      </c>
      <c r="K318" s="240">
        <f t="shared" si="80"/>
        <v>0</v>
      </c>
      <c r="L318" s="240">
        <f t="shared" si="81"/>
        <v>25364.821687323572</v>
      </c>
    </row>
    <row r="319" spans="1:12">
      <c r="A319" s="114">
        <v>27</v>
      </c>
      <c r="B319" s="182">
        <f t="shared" si="82"/>
        <v>313</v>
      </c>
      <c r="C319" s="188">
        <f t="shared" si="79"/>
        <v>1101415.5345022839</v>
      </c>
      <c r="D319" s="188">
        <f t="shared" si="76"/>
        <v>4589.2313937595163</v>
      </c>
      <c r="E319" s="188">
        <f t="shared" si="83"/>
        <v>20775.590293564055</v>
      </c>
      <c r="F319" s="188">
        <f t="shared" si="77"/>
        <v>25364.821687323572</v>
      </c>
      <c r="G319" s="188">
        <f t="shared" si="78"/>
        <v>1080639.9442087198</v>
      </c>
      <c r="H319" s="188">
        <f>G330*J$2/12</f>
        <v>0</v>
      </c>
      <c r="I319" s="188">
        <f t="shared" ref="I319:I330" si="92">(($C$319*$I$4)/12)</f>
        <v>0</v>
      </c>
      <c r="J319" s="188">
        <f t="shared" ref="J319:J330" si="93">(($C$319*$J$4)/12)</f>
        <v>0</v>
      </c>
      <c r="K319" s="188">
        <f t="shared" si="80"/>
        <v>0</v>
      </c>
      <c r="L319" s="188">
        <f t="shared" si="81"/>
        <v>25364.821687323572</v>
      </c>
    </row>
    <row r="320" spans="1:12">
      <c r="A320" s="114">
        <v>27</v>
      </c>
      <c r="B320" s="182">
        <f t="shared" si="82"/>
        <v>314</v>
      </c>
      <c r="C320" s="188">
        <f t="shared" si="79"/>
        <v>1080639.9442087198</v>
      </c>
      <c r="D320" s="188">
        <f t="shared" si="76"/>
        <v>4502.666434202999</v>
      </c>
      <c r="E320" s="188">
        <f t="shared" si="83"/>
        <v>20862.155253120574</v>
      </c>
      <c r="F320" s="188">
        <f t="shared" si="77"/>
        <v>25364.821687323572</v>
      </c>
      <c r="G320" s="188">
        <f t="shared" si="78"/>
        <v>1059777.7889555993</v>
      </c>
      <c r="H320" s="188">
        <f>G330*J$2/12</f>
        <v>0</v>
      </c>
      <c r="I320" s="188">
        <f t="shared" si="92"/>
        <v>0</v>
      </c>
      <c r="J320" s="188">
        <f t="shared" si="93"/>
        <v>0</v>
      </c>
      <c r="K320" s="188">
        <f t="shared" si="80"/>
        <v>0</v>
      </c>
      <c r="L320" s="188">
        <f t="shared" si="81"/>
        <v>25364.821687323572</v>
      </c>
    </row>
    <row r="321" spans="1:12">
      <c r="A321" s="114">
        <v>27</v>
      </c>
      <c r="B321" s="182">
        <f t="shared" si="82"/>
        <v>315</v>
      </c>
      <c r="C321" s="188">
        <f t="shared" si="79"/>
        <v>1059777.7889555993</v>
      </c>
      <c r="D321" s="188">
        <f t="shared" si="76"/>
        <v>4415.7407873149978</v>
      </c>
      <c r="E321" s="188">
        <f t="shared" si="83"/>
        <v>20949.080900008576</v>
      </c>
      <c r="F321" s="188">
        <f t="shared" si="77"/>
        <v>25364.821687323572</v>
      </c>
      <c r="G321" s="188">
        <f t="shared" si="78"/>
        <v>1038828.7080555907</v>
      </c>
      <c r="H321" s="188">
        <f>G330*J$2/12</f>
        <v>0</v>
      </c>
      <c r="I321" s="188">
        <f t="shared" si="92"/>
        <v>0</v>
      </c>
      <c r="J321" s="188">
        <f t="shared" si="93"/>
        <v>0</v>
      </c>
      <c r="K321" s="188">
        <f t="shared" si="80"/>
        <v>0</v>
      </c>
      <c r="L321" s="188">
        <f t="shared" si="81"/>
        <v>25364.821687323572</v>
      </c>
    </row>
    <row r="322" spans="1:12">
      <c r="A322" s="114">
        <v>27</v>
      </c>
      <c r="B322" s="182">
        <f t="shared" si="82"/>
        <v>316</v>
      </c>
      <c r="C322" s="188">
        <f t="shared" si="79"/>
        <v>1038828.7080555907</v>
      </c>
      <c r="D322" s="188">
        <f t="shared" si="76"/>
        <v>4328.4529502316282</v>
      </c>
      <c r="E322" s="188">
        <f t="shared" si="83"/>
        <v>21036.368737091943</v>
      </c>
      <c r="F322" s="188">
        <f t="shared" si="77"/>
        <v>25364.821687323572</v>
      </c>
      <c r="G322" s="188">
        <f t="shared" si="78"/>
        <v>1017792.3393184989</v>
      </c>
      <c r="H322" s="188">
        <f>G330*J$2/12</f>
        <v>0</v>
      </c>
      <c r="I322" s="188">
        <f t="shared" si="92"/>
        <v>0</v>
      </c>
      <c r="J322" s="188">
        <f t="shared" si="93"/>
        <v>0</v>
      </c>
      <c r="K322" s="188">
        <f t="shared" si="80"/>
        <v>0</v>
      </c>
      <c r="L322" s="188">
        <f t="shared" si="81"/>
        <v>25364.821687323572</v>
      </c>
    </row>
    <row r="323" spans="1:12">
      <c r="A323" s="114">
        <v>27</v>
      </c>
      <c r="B323" s="182">
        <f t="shared" si="82"/>
        <v>317</v>
      </c>
      <c r="C323" s="188">
        <f t="shared" si="79"/>
        <v>1017792.3393184989</v>
      </c>
      <c r="D323" s="188">
        <f t="shared" si="76"/>
        <v>4240.8014138270782</v>
      </c>
      <c r="E323" s="188">
        <f t="shared" si="83"/>
        <v>21124.020273496495</v>
      </c>
      <c r="F323" s="188">
        <f t="shared" si="77"/>
        <v>25364.821687323572</v>
      </c>
      <c r="G323" s="188">
        <f t="shared" si="78"/>
        <v>996668.31904500234</v>
      </c>
      <c r="H323" s="188">
        <f>G330*J$2/12</f>
        <v>0</v>
      </c>
      <c r="I323" s="188">
        <f t="shared" si="92"/>
        <v>0</v>
      </c>
      <c r="J323" s="188">
        <f t="shared" si="93"/>
        <v>0</v>
      </c>
      <c r="K323" s="188">
        <f t="shared" si="80"/>
        <v>0</v>
      </c>
      <c r="L323" s="188">
        <f t="shared" si="81"/>
        <v>25364.821687323572</v>
      </c>
    </row>
    <row r="324" spans="1:12">
      <c r="A324" s="114">
        <v>27</v>
      </c>
      <c r="B324" s="182">
        <f t="shared" si="82"/>
        <v>318</v>
      </c>
      <c r="C324" s="188">
        <f t="shared" si="79"/>
        <v>996668.31904500234</v>
      </c>
      <c r="D324" s="188">
        <f t="shared" si="76"/>
        <v>4152.7846626875098</v>
      </c>
      <c r="E324" s="188">
        <f t="shared" si="83"/>
        <v>21212.037024636062</v>
      </c>
      <c r="F324" s="188">
        <f t="shared" si="77"/>
        <v>25364.821687323572</v>
      </c>
      <c r="G324" s="188">
        <f t="shared" si="78"/>
        <v>975456.28202036628</v>
      </c>
      <c r="H324" s="188">
        <f>G330*J$2/12</f>
        <v>0</v>
      </c>
      <c r="I324" s="188">
        <f t="shared" si="92"/>
        <v>0</v>
      </c>
      <c r="J324" s="188">
        <f t="shared" si="93"/>
        <v>0</v>
      </c>
      <c r="K324" s="188">
        <f t="shared" si="80"/>
        <v>0</v>
      </c>
      <c r="L324" s="188">
        <f t="shared" si="81"/>
        <v>25364.821687323572</v>
      </c>
    </row>
    <row r="325" spans="1:12">
      <c r="A325" s="114">
        <v>27</v>
      </c>
      <c r="B325" s="182">
        <f t="shared" si="82"/>
        <v>319</v>
      </c>
      <c r="C325" s="188">
        <f t="shared" si="79"/>
        <v>975456.28202036628</v>
      </c>
      <c r="D325" s="188">
        <f t="shared" si="76"/>
        <v>4064.4011750848599</v>
      </c>
      <c r="E325" s="188">
        <f t="shared" si="83"/>
        <v>21300.420512238714</v>
      </c>
      <c r="F325" s="188">
        <f t="shared" si="77"/>
        <v>25364.821687323572</v>
      </c>
      <c r="G325" s="188">
        <f t="shared" si="78"/>
        <v>954155.86150812753</v>
      </c>
      <c r="H325" s="188">
        <f>G330*J$2/12</f>
        <v>0</v>
      </c>
      <c r="I325" s="188">
        <f t="shared" si="92"/>
        <v>0</v>
      </c>
      <c r="J325" s="188">
        <f t="shared" si="93"/>
        <v>0</v>
      </c>
      <c r="K325" s="188">
        <f t="shared" si="80"/>
        <v>0</v>
      </c>
      <c r="L325" s="188">
        <f t="shared" si="81"/>
        <v>25364.821687323572</v>
      </c>
    </row>
    <row r="326" spans="1:12">
      <c r="A326" s="114">
        <v>27</v>
      </c>
      <c r="B326" s="182">
        <f t="shared" si="82"/>
        <v>320</v>
      </c>
      <c r="C326" s="188">
        <f t="shared" si="79"/>
        <v>954155.86150812753</v>
      </c>
      <c r="D326" s="188">
        <f t="shared" si="76"/>
        <v>3975.6494229505315</v>
      </c>
      <c r="E326" s="188">
        <f t="shared" si="83"/>
        <v>21389.172264373039</v>
      </c>
      <c r="F326" s="188">
        <f t="shared" si="77"/>
        <v>25364.821687323572</v>
      </c>
      <c r="G326" s="188">
        <f t="shared" si="78"/>
        <v>932766.68924375449</v>
      </c>
      <c r="H326" s="188">
        <f>G330*J$2/12</f>
        <v>0</v>
      </c>
      <c r="I326" s="188">
        <f t="shared" si="92"/>
        <v>0</v>
      </c>
      <c r="J326" s="188">
        <f t="shared" si="93"/>
        <v>0</v>
      </c>
      <c r="K326" s="188">
        <f t="shared" si="80"/>
        <v>0</v>
      </c>
      <c r="L326" s="188">
        <f t="shared" si="81"/>
        <v>25364.821687323572</v>
      </c>
    </row>
    <row r="327" spans="1:12">
      <c r="A327" s="114">
        <v>27</v>
      </c>
      <c r="B327" s="182">
        <f t="shared" si="82"/>
        <v>321</v>
      </c>
      <c r="C327" s="188">
        <f t="shared" si="79"/>
        <v>932766.68924375449</v>
      </c>
      <c r="D327" s="188">
        <f t="shared" ref="D327:D390" si="94">(C327*$J$1)/12</f>
        <v>3886.5278718489772</v>
      </c>
      <c r="E327" s="188">
        <f t="shared" si="83"/>
        <v>21478.293815474593</v>
      </c>
      <c r="F327" s="188">
        <f t="shared" ref="F327:F390" si="95">PMT($J$1/12,$E$3*12,-$C$7,0)</f>
        <v>25364.821687323572</v>
      </c>
      <c r="G327" s="188">
        <f t="shared" ref="G327:G390" si="96">C327-E327</f>
        <v>911288.39542827988</v>
      </c>
      <c r="H327" s="188">
        <f>G330*J$2/12</f>
        <v>0</v>
      </c>
      <c r="I327" s="188">
        <f t="shared" si="92"/>
        <v>0</v>
      </c>
      <c r="J327" s="188">
        <f t="shared" si="93"/>
        <v>0</v>
      </c>
      <c r="K327" s="188">
        <f t="shared" si="80"/>
        <v>0</v>
      </c>
      <c r="L327" s="188">
        <f t="shared" si="81"/>
        <v>25364.821687323572</v>
      </c>
    </row>
    <row r="328" spans="1:12">
      <c r="A328" s="114">
        <v>27</v>
      </c>
      <c r="B328" s="182">
        <f t="shared" si="82"/>
        <v>322</v>
      </c>
      <c r="C328" s="188">
        <f t="shared" ref="C328:C391" si="97">G327</f>
        <v>911288.39542827988</v>
      </c>
      <c r="D328" s="188">
        <f t="shared" si="94"/>
        <v>3797.0349809511663</v>
      </c>
      <c r="E328" s="188">
        <f t="shared" si="83"/>
        <v>21567.786706372404</v>
      </c>
      <c r="F328" s="188">
        <f t="shared" si="95"/>
        <v>25364.821687323572</v>
      </c>
      <c r="G328" s="188">
        <f t="shared" si="96"/>
        <v>889720.60872190748</v>
      </c>
      <c r="H328" s="188">
        <f>G330*J$2/12</f>
        <v>0</v>
      </c>
      <c r="I328" s="188">
        <f t="shared" si="92"/>
        <v>0</v>
      </c>
      <c r="J328" s="188">
        <f t="shared" si="93"/>
        <v>0</v>
      </c>
      <c r="K328" s="188">
        <f t="shared" ref="K328:K391" si="98">SUM(I328:J328)</f>
        <v>0</v>
      </c>
      <c r="L328" s="188">
        <f t="shared" ref="L328:L391" si="99">F328+H328+K328</f>
        <v>25364.821687323572</v>
      </c>
    </row>
    <row r="329" spans="1:12">
      <c r="A329" s="114">
        <v>27</v>
      </c>
      <c r="B329" s="182">
        <f t="shared" ref="B329:B392" si="100">B328+1</f>
        <v>323</v>
      </c>
      <c r="C329" s="188">
        <f t="shared" si="97"/>
        <v>889720.60872190748</v>
      </c>
      <c r="D329" s="188">
        <f t="shared" si="94"/>
        <v>3707.169203007948</v>
      </c>
      <c r="E329" s="188">
        <f t="shared" ref="E329:E392" si="101">(F329-D329)</f>
        <v>21657.652484315626</v>
      </c>
      <c r="F329" s="188">
        <f t="shared" si="95"/>
        <v>25364.821687323572</v>
      </c>
      <c r="G329" s="188">
        <f t="shared" si="96"/>
        <v>868062.9562375918</v>
      </c>
      <c r="H329" s="188">
        <f>G330*J$2/12</f>
        <v>0</v>
      </c>
      <c r="I329" s="188">
        <f t="shared" si="92"/>
        <v>0</v>
      </c>
      <c r="J329" s="188">
        <f t="shared" si="93"/>
        <v>0</v>
      </c>
      <c r="K329" s="188">
        <f t="shared" si="98"/>
        <v>0</v>
      </c>
      <c r="L329" s="188">
        <f t="shared" si="99"/>
        <v>25364.821687323572</v>
      </c>
    </row>
    <row r="330" spans="1:12">
      <c r="A330" s="238">
        <v>27</v>
      </c>
      <c r="B330" s="239">
        <f t="shared" si="100"/>
        <v>324</v>
      </c>
      <c r="C330" s="240">
        <f t="shared" si="97"/>
        <v>868062.9562375918</v>
      </c>
      <c r="D330" s="240">
        <f t="shared" si="94"/>
        <v>3616.9289843232996</v>
      </c>
      <c r="E330" s="240">
        <f t="shared" si="101"/>
        <v>21747.892703000274</v>
      </c>
      <c r="F330" s="240">
        <f t="shared" si="95"/>
        <v>25364.821687323572</v>
      </c>
      <c r="G330" s="240">
        <f t="shared" si="96"/>
        <v>846315.06353459158</v>
      </c>
      <c r="H330" s="240">
        <f>G330*J$2/12</f>
        <v>0</v>
      </c>
      <c r="I330" s="240">
        <f t="shared" si="92"/>
        <v>0</v>
      </c>
      <c r="J330" s="240">
        <f t="shared" si="93"/>
        <v>0</v>
      </c>
      <c r="K330" s="240">
        <f t="shared" si="98"/>
        <v>0</v>
      </c>
      <c r="L330" s="240">
        <f t="shared" si="99"/>
        <v>25364.821687323572</v>
      </c>
    </row>
    <row r="331" spans="1:12">
      <c r="A331" s="114">
        <v>28</v>
      </c>
      <c r="B331" s="182">
        <f t="shared" si="100"/>
        <v>325</v>
      </c>
      <c r="C331" s="188">
        <f t="shared" si="97"/>
        <v>846315.06353459158</v>
      </c>
      <c r="D331" s="188">
        <f t="shared" si="94"/>
        <v>3526.312764727465</v>
      </c>
      <c r="E331" s="188">
        <f t="shared" si="101"/>
        <v>21838.508922596106</v>
      </c>
      <c r="F331" s="188">
        <f t="shared" si="95"/>
        <v>25364.821687323572</v>
      </c>
      <c r="G331" s="188">
        <f t="shared" si="96"/>
        <v>824476.55461199547</v>
      </c>
      <c r="H331" s="188">
        <f>G342*J$2/12</f>
        <v>0</v>
      </c>
      <c r="I331" s="188">
        <f t="shared" ref="I331:I342" si="102">(($C$331*$I$4)/12)</f>
        <v>0</v>
      </c>
      <c r="J331" s="188">
        <f t="shared" ref="J331:J342" si="103">(($C$331*$J$4)/12)</f>
        <v>0</v>
      </c>
      <c r="K331" s="188">
        <f t="shared" si="98"/>
        <v>0</v>
      </c>
      <c r="L331" s="188">
        <f t="shared" si="99"/>
        <v>25364.821687323572</v>
      </c>
    </row>
    <row r="332" spans="1:12">
      <c r="A332" s="114">
        <v>28</v>
      </c>
      <c r="B332" s="182">
        <f t="shared" si="100"/>
        <v>326</v>
      </c>
      <c r="C332" s="188">
        <f t="shared" si="97"/>
        <v>824476.55461199547</v>
      </c>
      <c r="D332" s="188">
        <f t="shared" si="94"/>
        <v>3435.3189775499814</v>
      </c>
      <c r="E332" s="188">
        <f t="shared" si="101"/>
        <v>21929.502709773591</v>
      </c>
      <c r="F332" s="188">
        <f t="shared" si="95"/>
        <v>25364.821687323572</v>
      </c>
      <c r="G332" s="188">
        <f t="shared" si="96"/>
        <v>802547.05190222187</v>
      </c>
      <c r="H332" s="188">
        <f>G342*J$2/12</f>
        <v>0</v>
      </c>
      <c r="I332" s="188">
        <f t="shared" si="102"/>
        <v>0</v>
      </c>
      <c r="J332" s="188">
        <f t="shared" si="103"/>
        <v>0</v>
      </c>
      <c r="K332" s="188">
        <f t="shared" si="98"/>
        <v>0</v>
      </c>
      <c r="L332" s="188">
        <f t="shared" si="99"/>
        <v>25364.821687323572</v>
      </c>
    </row>
    <row r="333" spans="1:12">
      <c r="A333" s="114">
        <v>28</v>
      </c>
      <c r="B333" s="182">
        <f t="shared" si="100"/>
        <v>327</v>
      </c>
      <c r="C333" s="188">
        <f t="shared" si="97"/>
        <v>802547.05190222187</v>
      </c>
      <c r="D333" s="188">
        <f t="shared" si="94"/>
        <v>3343.946049592591</v>
      </c>
      <c r="E333" s="188">
        <f t="shared" si="101"/>
        <v>22020.87563773098</v>
      </c>
      <c r="F333" s="188">
        <f t="shared" si="95"/>
        <v>25364.821687323572</v>
      </c>
      <c r="G333" s="188">
        <f t="shared" si="96"/>
        <v>780526.17626449093</v>
      </c>
      <c r="H333" s="188">
        <f>G342*J$2/12</f>
        <v>0</v>
      </c>
      <c r="I333" s="188">
        <f t="shared" si="102"/>
        <v>0</v>
      </c>
      <c r="J333" s="188">
        <f t="shared" si="103"/>
        <v>0</v>
      </c>
      <c r="K333" s="188">
        <f t="shared" si="98"/>
        <v>0</v>
      </c>
      <c r="L333" s="188">
        <f t="shared" si="99"/>
        <v>25364.821687323572</v>
      </c>
    </row>
    <row r="334" spans="1:12">
      <c r="A334" s="114">
        <v>28</v>
      </c>
      <c r="B334" s="182">
        <f t="shared" si="100"/>
        <v>328</v>
      </c>
      <c r="C334" s="188">
        <f t="shared" si="97"/>
        <v>780526.17626449093</v>
      </c>
      <c r="D334" s="188">
        <f t="shared" si="94"/>
        <v>3252.1924011020456</v>
      </c>
      <c r="E334" s="188">
        <f t="shared" si="101"/>
        <v>22112.629286221527</v>
      </c>
      <c r="F334" s="188">
        <f t="shared" si="95"/>
        <v>25364.821687323572</v>
      </c>
      <c r="G334" s="188">
        <f t="shared" si="96"/>
        <v>758413.54697826935</v>
      </c>
      <c r="H334" s="188">
        <f>G342*J$2/12</f>
        <v>0</v>
      </c>
      <c r="I334" s="188">
        <f t="shared" si="102"/>
        <v>0</v>
      </c>
      <c r="J334" s="188">
        <f t="shared" si="103"/>
        <v>0</v>
      </c>
      <c r="K334" s="188">
        <f t="shared" si="98"/>
        <v>0</v>
      </c>
      <c r="L334" s="188">
        <f t="shared" si="99"/>
        <v>25364.821687323572</v>
      </c>
    </row>
    <row r="335" spans="1:12">
      <c r="A335" s="114">
        <v>28</v>
      </c>
      <c r="B335" s="182">
        <f t="shared" si="100"/>
        <v>329</v>
      </c>
      <c r="C335" s="188">
        <f t="shared" si="97"/>
        <v>758413.54697826935</v>
      </c>
      <c r="D335" s="188">
        <f t="shared" si="94"/>
        <v>3160.0564457427895</v>
      </c>
      <c r="E335" s="188">
        <f t="shared" si="101"/>
        <v>22204.765241580782</v>
      </c>
      <c r="F335" s="188">
        <f t="shared" si="95"/>
        <v>25364.821687323572</v>
      </c>
      <c r="G335" s="188">
        <f t="shared" si="96"/>
        <v>736208.78173668857</v>
      </c>
      <c r="H335" s="188">
        <f>G342*J$2/12</f>
        <v>0</v>
      </c>
      <c r="I335" s="188">
        <f t="shared" si="102"/>
        <v>0</v>
      </c>
      <c r="J335" s="188">
        <f t="shared" si="103"/>
        <v>0</v>
      </c>
      <c r="K335" s="188">
        <f t="shared" si="98"/>
        <v>0</v>
      </c>
      <c r="L335" s="188">
        <f t="shared" si="99"/>
        <v>25364.821687323572</v>
      </c>
    </row>
    <row r="336" spans="1:12">
      <c r="A336" s="114">
        <v>28</v>
      </c>
      <c r="B336" s="182">
        <f t="shared" si="100"/>
        <v>330</v>
      </c>
      <c r="C336" s="188">
        <f t="shared" si="97"/>
        <v>736208.78173668857</v>
      </c>
      <c r="D336" s="188">
        <f t="shared" si="94"/>
        <v>3067.5365905695357</v>
      </c>
      <c r="E336" s="188">
        <f t="shared" si="101"/>
        <v>22297.285096754036</v>
      </c>
      <c r="F336" s="188">
        <f t="shared" si="95"/>
        <v>25364.821687323572</v>
      </c>
      <c r="G336" s="188">
        <f t="shared" si="96"/>
        <v>713911.49663993448</v>
      </c>
      <c r="H336" s="188">
        <f>G342*J$2/12</f>
        <v>0</v>
      </c>
      <c r="I336" s="188">
        <f t="shared" si="102"/>
        <v>0</v>
      </c>
      <c r="J336" s="188">
        <f t="shared" si="103"/>
        <v>0</v>
      </c>
      <c r="K336" s="188">
        <f t="shared" si="98"/>
        <v>0</v>
      </c>
      <c r="L336" s="188">
        <f t="shared" si="99"/>
        <v>25364.821687323572</v>
      </c>
    </row>
    <row r="337" spans="1:12">
      <c r="A337" s="114">
        <v>28</v>
      </c>
      <c r="B337" s="182">
        <f t="shared" si="100"/>
        <v>331</v>
      </c>
      <c r="C337" s="188">
        <f t="shared" si="97"/>
        <v>713911.49663993448</v>
      </c>
      <c r="D337" s="188">
        <f t="shared" si="94"/>
        <v>2974.6312359997269</v>
      </c>
      <c r="E337" s="188">
        <f t="shared" si="101"/>
        <v>22390.190451323844</v>
      </c>
      <c r="F337" s="188">
        <f t="shared" si="95"/>
        <v>25364.821687323572</v>
      </c>
      <c r="G337" s="188">
        <f t="shared" si="96"/>
        <v>691521.30618861062</v>
      </c>
      <c r="H337" s="188">
        <f>G342*J$2/12</f>
        <v>0</v>
      </c>
      <c r="I337" s="188">
        <f t="shared" si="102"/>
        <v>0</v>
      </c>
      <c r="J337" s="188">
        <f t="shared" si="103"/>
        <v>0</v>
      </c>
      <c r="K337" s="188">
        <f t="shared" si="98"/>
        <v>0</v>
      </c>
      <c r="L337" s="188">
        <f t="shared" si="99"/>
        <v>25364.821687323572</v>
      </c>
    </row>
    <row r="338" spans="1:12">
      <c r="A338" s="114">
        <v>28</v>
      </c>
      <c r="B338" s="182">
        <f t="shared" si="100"/>
        <v>332</v>
      </c>
      <c r="C338" s="188">
        <f t="shared" si="97"/>
        <v>691521.30618861062</v>
      </c>
      <c r="D338" s="188">
        <f t="shared" si="94"/>
        <v>2881.3387757858777</v>
      </c>
      <c r="E338" s="188">
        <f t="shared" si="101"/>
        <v>22483.482911537696</v>
      </c>
      <c r="F338" s="188">
        <f t="shared" si="95"/>
        <v>25364.821687323572</v>
      </c>
      <c r="G338" s="188">
        <f t="shared" si="96"/>
        <v>669037.82327707286</v>
      </c>
      <c r="H338" s="188">
        <f>G342*J$2/12</f>
        <v>0</v>
      </c>
      <c r="I338" s="188">
        <f t="shared" si="102"/>
        <v>0</v>
      </c>
      <c r="J338" s="188">
        <f t="shared" si="103"/>
        <v>0</v>
      </c>
      <c r="K338" s="188">
        <f t="shared" si="98"/>
        <v>0</v>
      </c>
      <c r="L338" s="188">
        <f t="shared" si="99"/>
        <v>25364.821687323572</v>
      </c>
    </row>
    <row r="339" spans="1:12">
      <c r="A339" s="114">
        <v>28</v>
      </c>
      <c r="B339" s="182">
        <f t="shared" si="100"/>
        <v>333</v>
      </c>
      <c r="C339" s="188">
        <f t="shared" si="97"/>
        <v>669037.82327707286</v>
      </c>
      <c r="D339" s="188">
        <f t="shared" si="94"/>
        <v>2787.6575969878036</v>
      </c>
      <c r="E339" s="188">
        <f t="shared" si="101"/>
        <v>22577.164090335769</v>
      </c>
      <c r="F339" s="188">
        <f t="shared" si="95"/>
        <v>25364.821687323572</v>
      </c>
      <c r="G339" s="188">
        <f t="shared" si="96"/>
        <v>646460.65918673715</v>
      </c>
      <c r="H339" s="188">
        <f>G342*J$2/12</f>
        <v>0</v>
      </c>
      <c r="I339" s="188">
        <f t="shared" si="102"/>
        <v>0</v>
      </c>
      <c r="J339" s="188">
        <f t="shared" si="103"/>
        <v>0</v>
      </c>
      <c r="K339" s="188">
        <f t="shared" si="98"/>
        <v>0</v>
      </c>
      <c r="L339" s="188">
        <f t="shared" si="99"/>
        <v>25364.821687323572</v>
      </c>
    </row>
    <row r="340" spans="1:12">
      <c r="A340" s="114">
        <v>28</v>
      </c>
      <c r="B340" s="182">
        <f t="shared" si="100"/>
        <v>334</v>
      </c>
      <c r="C340" s="188">
        <f t="shared" si="97"/>
        <v>646460.65918673715</v>
      </c>
      <c r="D340" s="188">
        <f t="shared" si="94"/>
        <v>2693.5860799447382</v>
      </c>
      <c r="E340" s="188">
        <f t="shared" si="101"/>
        <v>22671.235607378832</v>
      </c>
      <c r="F340" s="188">
        <f t="shared" si="95"/>
        <v>25364.821687323572</v>
      </c>
      <c r="G340" s="188">
        <f t="shared" si="96"/>
        <v>623789.42357935826</v>
      </c>
      <c r="H340" s="188">
        <f>G342*J$2/12</f>
        <v>0</v>
      </c>
      <c r="I340" s="188">
        <f t="shared" si="102"/>
        <v>0</v>
      </c>
      <c r="J340" s="188">
        <f t="shared" si="103"/>
        <v>0</v>
      </c>
      <c r="K340" s="188">
        <f t="shared" si="98"/>
        <v>0</v>
      </c>
      <c r="L340" s="188">
        <f t="shared" si="99"/>
        <v>25364.821687323572</v>
      </c>
    </row>
    <row r="341" spans="1:12">
      <c r="A341" s="114">
        <v>28</v>
      </c>
      <c r="B341" s="182">
        <f t="shared" si="100"/>
        <v>335</v>
      </c>
      <c r="C341" s="188">
        <f t="shared" si="97"/>
        <v>623789.42357935826</v>
      </c>
      <c r="D341" s="188">
        <f t="shared" si="94"/>
        <v>2599.1225982473261</v>
      </c>
      <c r="E341" s="188">
        <f t="shared" si="101"/>
        <v>22765.699089076246</v>
      </c>
      <c r="F341" s="188">
        <f t="shared" si="95"/>
        <v>25364.821687323572</v>
      </c>
      <c r="G341" s="188">
        <f t="shared" si="96"/>
        <v>601023.72449028201</v>
      </c>
      <c r="H341" s="188">
        <f>G342*J$2/12</f>
        <v>0</v>
      </c>
      <c r="I341" s="188">
        <f t="shared" si="102"/>
        <v>0</v>
      </c>
      <c r="J341" s="188">
        <f t="shared" si="103"/>
        <v>0</v>
      </c>
      <c r="K341" s="188">
        <f t="shared" si="98"/>
        <v>0</v>
      </c>
      <c r="L341" s="188">
        <f t="shared" si="99"/>
        <v>25364.821687323572</v>
      </c>
    </row>
    <row r="342" spans="1:12">
      <c r="A342" s="238">
        <v>28</v>
      </c>
      <c r="B342" s="239">
        <f t="shared" si="100"/>
        <v>336</v>
      </c>
      <c r="C342" s="240">
        <f t="shared" si="97"/>
        <v>601023.72449028201</v>
      </c>
      <c r="D342" s="240">
        <f t="shared" si="94"/>
        <v>2504.2655187095083</v>
      </c>
      <c r="E342" s="240">
        <f t="shared" si="101"/>
        <v>22860.556168614065</v>
      </c>
      <c r="F342" s="240">
        <f t="shared" si="95"/>
        <v>25364.821687323572</v>
      </c>
      <c r="G342" s="240">
        <f t="shared" si="96"/>
        <v>578163.16832166794</v>
      </c>
      <c r="H342" s="240">
        <f>G342*J$2/12</f>
        <v>0</v>
      </c>
      <c r="I342" s="240">
        <f t="shared" si="102"/>
        <v>0</v>
      </c>
      <c r="J342" s="240">
        <f t="shared" si="103"/>
        <v>0</v>
      </c>
      <c r="K342" s="240">
        <f t="shared" si="98"/>
        <v>0</v>
      </c>
      <c r="L342" s="240">
        <f t="shared" si="99"/>
        <v>25364.821687323572</v>
      </c>
    </row>
    <row r="343" spans="1:12">
      <c r="A343" s="114">
        <v>29</v>
      </c>
      <c r="B343" s="182">
        <f t="shared" si="100"/>
        <v>337</v>
      </c>
      <c r="C343" s="188">
        <f t="shared" si="97"/>
        <v>578163.16832166794</v>
      </c>
      <c r="D343" s="188">
        <f t="shared" si="94"/>
        <v>2409.0132013402831</v>
      </c>
      <c r="E343" s="188">
        <f t="shared" si="101"/>
        <v>22955.808485983289</v>
      </c>
      <c r="F343" s="188">
        <f t="shared" si="95"/>
        <v>25364.821687323572</v>
      </c>
      <c r="G343" s="188">
        <f t="shared" si="96"/>
        <v>555207.35983568465</v>
      </c>
      <c r="H343" s="188">
        <f>G354*J$2/12</f>
        <v>0</v>
      </c>
      <c r="I343" s="188">
        <f t="shared" ref="I343:I354" si="104">(($C$343*$I$4)/12)</f>
        <v>0</v>
      </c>
      <c r="J343" s="188">
        <f t="shared" ref="J343:J354" si="105">(($C$343*$J$4)/12)</f>
        <v>0</v>
      </c>
      <c r="K343" s="188">
        <f t="shared" si="98"/>
        <v>0</v>
      </c>
      <c r="L343" s="188">
        <f t="shared" si="99"/>
        <v>25364.821687323572</v>
      </c>
    </row>
    <row r="344" spans="1:12">
      <c r="A344" s="114">
        <v>29</v>
      </c>
      <c r="B344" s="182">
        <f t="shared" si="100"/>
        <v>338</v>
      </c>
      <c r="C344" s="188">
        <f t="shared" si="97"/>
        <v>555207.35983568465</v>
      </c>
      <c r="D344" s="188">
        <f t="shared" si="94"/>
        <v>2313.3639993153529</v>
      </c>
      <c r="E344" s="188">
        <f t="shared" si="101"/>
        <v>23051.45768800822</v>
      </c>
      <c r="F344" s="188">
        <f t="shared" si="95"/>
        <v>25364.821687323572</v>
      </c>
      <c r="G344" s="188">
        <f t="shared" si="96"/>
        <v>532155.90214767645</v>
      </c>
      <c r="H344" s="188">
        <f>G354*J$2/12</f>
        <v>0</v>
      </c>
      <c r="I344" s="188">
        <f t="shared" si="104"/>
        <v>0</v>
      </c>
      <c r="J344" s="188">
        <f t="shared" si="105"/>
        <v>0</v>
      </c>
      <c r="K344" s="188">
        <f t="shared" si="98"/>
        <v>0</v>
      </c>
      <c r="L344" s="188">
        <f t="shared" si="99"/>
        <v>25364.821687323572</v>
      </c>
    </row>
    <row r="345" spans="1:12">
      <c r="A345" s="114">
        <v>29</v>
      </c>
      <c r="B345" s="182">
        <f t="shared" si="100"/>
        <v>339</v>
      </c>
      <c r="C345" s="188">
        <f t="shared" si="97"/>
        <v>532155.90214767645</v>
      </c>
      <c r="D345" s="188">
        <f t="shared" si="94"/>
        <v>2217.3162589486519</v>
      </c>
      <c r="E345" s="188">
        <f t="shared" si="101"/>
        <v>23147.50542837492</v>
      </c>
      <c r="F345" s="188">
        <f t="shared" si="95"/>
        <v>25364.821687323572</v>
      </c>
      <c r="G345" s="188">
        <f t="shared" si="96"/>
        <v>509008.39671930153</v>
      </c>
      <c r="H345" s="188">
        <f>G354*J$2/12</f>
        <v>0</v>
      </c>
      <c r="I345" s="188">
        <f t="shared" si="104"/>
        <v>0</v>
      </c>
      <c r="J345" s="188">
        <f t="shared" si="105"/>
        <v>0</v>
      </c>
      <c r="K345" s="188">
        <f t="shared" si="98"/>
        <v>0</v>
      </c>
      <c r="L345" s="188">
        <f t="shared" si="99"/>
        <v>25364.821687323572</v>
      </c>
    </row>
    <row r="346" spans="1:12">
      <c r="A346" s="114">
        <v>29</v>
      </c>
      <c r="B346" s="182">
        <f t="shared" si="100"/>
        <v>340</v>
      </c>
      <c r="C346" s="188">
        <f t="shared" si="97"/>
        <v>509008.39671930153</v>
      </c>
      <c r="D346" s="188">
        <f t="shared" si="94"/>
        <v>2120.8683196637562</v>
      </c>
      <c r="E346" s="188">
        <f t="shared" si="101"/>
        <v>23243.953367659815</v>
      </c>
      <c r="F346" s="188">
        <f t="shared" si="95"/>
        <v>25364.821687323572</v>
      </c>
      <c r="G346" s="188">
        <f t="shared" si="96"/>
        <v>485764.4433516417</v>
      </c>
      <c r="H346" s="188">
        <f>G354*J$2/12</f>
        <v>0</v>
      </c>
      <c r="I346" s="188">
        <f t="shared" si="104"/>
        <v>0</v>
      </c>
      <c r="J346" s="188">
        <f t="shared" si="105"/>
        <v>0</v>
      </c>
      <c r="K346" s="188">
        <f t="shared" si="98"/>
        <v>0</v>
      </c>
      <c r="L346" s="188">
        <f t="shared" si="99"/>
        <v>25364.821687323572</v>
      </c>
    </row>
    <row r="347" spans="1:12">
      <c r="A347" s="114">
        <v>29</v>
      </c>
      <c r="B347" s="182">
        <f t="shared" si="100"/>
        <v>341</v>
      </c>
      <c r="C347" s="188">
        <f t="shared" si="97"/>
        <v>485764.4433516417</v>
      </c>
      <c r="D347" s="188">
        <f t="shared" si="94"/>
        <v>2024.018513965174</v>
      </c>
      <c r="E347" s="188">
        <f t="shared" si="101"/>
        <v>23340.803173358399</v>
      </c>
      <c r="F347" s="188">
        <f t="shared" si="95"/>
        <v>25364.821687323572</v>
      </c>
      <c r="G347" s="188">
        <f t="shared" si="96"/>
        <v>462423.64017828333</v>
      </c>
      <c r="H347" s="188">
        <f>G354*J$2/12</f>
        <v>0</v>
      </c>
      <c r="I347" s="188">
        <f t="shared" si="104"/>
        <v>0</v>
      </c>
      <c r="J347" s="188">
        <f t="shared" si="105"/>
        <v>0</v>
      </c>
      <c r="K347" s="188">
        <f t="shared" si="98"/>
        <v>0</v>
      </c>
      <c r="L347" s="188">
        <f t="shared" si="99"/>
        <v>25364.821687323572</v>
      </c>
    </row>
    <row r="348" spans="1:12">
      <c r="A348" s="114">
        <v>29</v>
      </c>
      <c r="B348" s="182">
        <f t="shared" si="100"/>
        <v>342</v>
      </c>
      <c r="C348" s="188">
        <f t="shared" si="97"/>
        <v>462423.64017828333</v>
      </c>
      <c r="D348" s="188">
        <f t="shared" si="94"/>
        <v>1926.7651674095141</v>
      </c>
      <c r="E348" s="188">
        <f t="shared" si="101"/>
        <v>23438.056519914058</v>
      </c>
      <c r="F348" s="188">
        <f t="shared" si="95"/>
        <v>25364.821687323572</v>
      </c>
      <c r="G348" s="188">
        <f t="shared" si="96"/>
        <v>438985.58365836926</v>
      </c>
      <c r="H348" s="188">
        <f>G354*J$2/12</f>
        <v>0</v>
      </c>
      <c r="I348" s="188">
        <f t="shared" si="104"/>
        <v>0</v>
      </c>
      <c r="J348" s="188">
        <f t="shared" si="105"/>
        <v>0</v>
      </c>
      <c r="K348" s="188">
        <f t="shared" si="98"/>
        <v>0</v>
      </c>
      <c r="L348" s="188">
        <f t="shared" si="99"/>
        <v>25364.821687323572</v>
      </c>
    </row>
    <row r="349" spans="1:12">
      <c r="A349" s="114">
        <v>29</v>
      </c>
      <c r="B349" s="182">
        <f t="shared" si="100"/>
        <v>343</v>
      </c>
      <c r="C349" s="188">
        <f t="shared" si="97"/>
        <v>438985.58365836926</v>
      </c>
      <c r="D349" s="188">
        <f t="shared" si="94"/>
        <v>1829.1065985765388</v>
      </c>
      <c r="E349" s="188">
        <f t="shared" si="101"/>
        <v>23535.715088747034</v>
      </c>
      <c r="F349" s="188">
        <f t="shared" si="95"/>
        <v>25364.821687323572</v>
      </c>
      <c r="G349" s="188">
        <f t="shared" si="96"/>
        <v>415449.86856962222</v>
      </c>
      <c r="H349" s="188">
        <f>G354*J$2/12</f>
        <v>0</v>
      </c>
      <c r="I349" s="188">
        <f t="shared" si="104"/>
        <v>0</v>
      </c>
      <c r="J349" s="188">
        <f t="shared" si="105"/>
        <v>0</v>
      </c>
      <c r="K349" s="188">
        <f t="shared" si="98"/>
        <v>0</v>
      </c>
      <c r="L349" s="188">
        <f t="shared" si="99"/>
        <v>25364.821687323572</v>
      </c>
    </row>
    <row r="350" spans="1:12">
      <c r="A350" s="114">
        <v>29</v>
      </c>
      <c r="B350" s="182">
        <f t="shared" si="100"/>
        <v>344</v>
      </c>
      <c r="C350" s="188">
        <f t="shared" si="97"/>
        <v>415449.86856962222</v>
      </c>
      <c r="D350" s="188">
        <f t="shared" si="94"/>
        <v>1731.0411190400928</v>
      </c>
      <c r="E350" s="188">
        <f t="shared" si="101"/>
        <v>23633.780568283481</v>
      </c>
      <c r="F350" s="188">
        <f t="shared" si="95"/>
        <v>25364.821687323572</v>
      </c>
      <c r="G350" s="188">
        <f t="shared" si="96"/>
        <v>391816.08800133877</v>
      </c>
      <c r="H350" s="188">
        <f>G354*J$2/12</f>
        <v>0</v>
      </c>
      <c r="I350" s="188">
        <f t="shared" si="104"/>
        <v>0</v>
      </c>
      <c r="J350" s="188">
        <f t="shared" si="105"/>
        <v>0</v>
      </c>
      <c r="K350" s="188">
        <f t="shared" si="98"/>
        <v>0</v>
      </c>
      <c r="L350" s="188">
        <f t="shared" si="99"/>
        <v>25364.821687323572</v>
      </c>
    </row>
    <row r="351" spans="1:12">
      <c r="A351" s="114">
        <v>29</v>
      </c>
      <c r="B351" s="182">
        <f t="shared" si="100"/>
        <v>345</v>
      </c>
      <c r="C351" s="188">
        <f t="shared" si="97"/>
        <v>391816.08800133877</v>
      </c>
      <c r="D351" s="188">
        <f t="shared" si="94"/>
        <v>1632.5670333389116</v>
      </c>
      <c r="E351" s="188">
        <f t="shared" si="101"/>
        <v>23732.254653984659</v>
      </c>
      <c r="F351" s="188">
        <f t="shared" si="95"/>
        <v>25364.821687323572</v>
      </c>
      <c r="G351" s="188">
        <f t="shared" si="96"/>
        <v>368083.83334735408</v>
      </c>
      <c r="H351" s="188">
        <f>G354*J$2/12</f>
        <v>0</v>
      </c>
      <c r="I351" s="188">
        <f t="shared" si="104"/>
        <v>0</v>
      </c>
      <c r="J351" s="188">
        <f t="shared" si="105"/>
        <v>0</v>
      </c>
      <c r="K351" s="188">
        <f t="shared" si="98"/>
        <v>0</v>
      </c>
      <c r="L351" s="188">
        <f t="shared" si="99"/>
        <v>25364.821687323572</v>
      </c>
    </row>
    <row r="352" spans="1:12">
      <c r="A352" s="114">
        <v>29</v>
      </c>
      <c r="B352" s="182">
        <f t="shared" si="100"/>
        <v>346</v>
      </c>
      <c r="C352" s="188">
        <f t="shared" si="97"/>
        <v>368083.83334735408</v>
      </c>
      <c r="D352" s="188">
        <f t="shared" si="94"/>
        <v>1533.6826389473088</v>
      </c>
      <c r="E352" s="188">
        <f t="shared" si="101"/>
        <v>23831.139048376263</v>
      </c>
      <c r="F352" s="188">
        <f t="shared" si="95"/>
        <v>25364.821687323572</v>
      </c>
      <c r="G352" s="188">
        <f t="shared" si="96"/>
        <v>344252.69429897785</v>
      </c>
      <c r="H352" s="188">
        <f>G354*J$2/12</f>
        <v>0</v>
      </c>
      <c r="I352" s="188">
        <f t="shared" si="104"/>
        <v>0</v>
      </c>
      <c r="J352" s="188">
        <f t="shared" si="105"/>
        <v>0</v>
      </c>
      <c r="K352" s="188">
        <f t="shared" si="98"/>
        <v>0</v>
      </c>
      <c r="L352" s="188">
        <f t="shared" si="99"/>
        <v>25364.821687323572</v>
      </c>
    </row>
    <row r="353" spans="1:12">
      <c r="A353" s="114">
        <v>29</v>
      </c>
      <c r="B353" s="182">
        <f t="shared" si="100"/>
        <v>347</v>
      </c>
      <c r="C353" s="188">
        <f t="shared" si="97"/>
        <v>344252.69429897785</v>
      </c>
      <c r="D353" s="188">
        <f t="shared" si="94"/>
        <v>1434.3862262457412</v>
      </c>
      <c r="E353" s="188">
        <f t="shared" si="101"/>
        <v>23930.435461077832</v>
      </c>
      <c r="F353" s="188">
        <f t="shared" si="95"/>
        <v>25364.821687323572</v>
      </c>
      <c r="G353" s="188">
        <f t="shared" si="96"/>
        <v>320322.25883790001</v>
      </c>
      <c r="H353" s="188">
        <f>G354*J$2/12</f>
        <v>0</v>
      </c>
      <c r="I353" s="188">
        <f t="shared" si="104"/>
        <v>0</v>
      </c>
      <c r="J353" s="188">
        <f t="shared" si="105"/>
        <v>0</v>
      </c>
      <c r="K353" s="188">
        <f t="shared" si="98"/>
        <v>0</v>
      </c>
      <c r="L353" s="188">
        <f t="shared" si="99"/>
        <v>25364.821687323572</v>
      </c>
    </row>
    <row r="354" spans="1:12">
      <c r="A354" s="238">
        <v>29</v>
      </c>
      <c r="B354" s="239">
        <f t="shared" si="100"/>
        <v>348</v>
      </c>
      <c r="C354" s="240">
        <f t="shared" si="97"/>
        <v>320322.25883790001</v>
      </c>
      <c r="D354" s="240">
        <f t="shared" si="94"/>
        <v>1334.6760784912501</v>
      </c>
      <c r="E354" s="240">
        <f t="shared" si="101"/>
        <v>24030.145608832321</v>
      </c>
      <c r="F354" s="240">
        <f t="shared" si="95"/>
        <v>25364.821687323572</v>
      </c>
      <c r="G354" s="240">
        <f t="shared" si="96"/>
        <v>296292.11322906771</v>
      </c>
      <c r="H354" s="240">
        <f>G354*J$2/12</f>
        <v>0</v>
      </c>
      <c r="I354" s="240">
        <f t="shared" si="104"/>
        <v>0</v>
      </c>
      <c r="J354" s="240">
        <f t="shared" si="105"/>
        <v>0</v>
      </c>
      <c r="K354" s="240">
        <f t="shared" si="98"/>
        <v>0</v>
      </c>
      <c r="L354" s="240">
        <f t="shared" si="99"/>
        <v>25364.821687323572</v>
      </c>
    </row>
    <row r="355" spans="1:12">
      <c r="A355" s="114">
        <v>30</v>
      </c>
      <c r="B355" s="182">
        <f t="shared" si="100"/>
        <v>349</v>
      </c>
      <c r="C355" s="188">
        <f t="shared" si="97"/>
        <v>296292.11322906771</v>
      </c>
      <c r="D355" s="188">
        <f t="shared" si="94"/>
        <v>1234.5504717877823</v>
      </c>
      <c r="E355" s="188">
        <f t="shared" si="101"/>
        <v>24130.271215535791</v>
      </c>
      <c r="F355" s="188">
        <f t="shared" si="95"/>
        <v>25364.821687323572</v>
      </c>
      <c r="G355" s="188">
        <f t="shared" si="96"/>
        <v>272161.84201353189</v>
      </c>
      <c r="H355" s="188">
        <f>G366*J$2/12</f>
        <v>0</v>
      </c>
      <c r="I355" s="188">
        <f t="shared" ref="I355:I366" si="106">(($C$355*$I$4)/12)</f>
        <v>0</v>
      </c>
      <c r="J355" s="188">
        <f t="shared" ref="J355:J366" si="107">(($C$355*$J$4)/12)</f>
        <v>0</v>
      </c>
      <c r="K355" s="188">
        <f t="shared" si="98"/>
        <v>0</v>
      </c>
      <c r="L355" s="188">
        <f t="shared" si="99"/>
        <v>25364.821687323572</v>
      </c>
    </row>
    <row r="356" spans="1:12">
      <c r="A356" s="114">
        <v>30</v>
      </c>
      <c r="B356" s="182">
        <f t="shared" si="100"/>
        <v>350</v>
      </c>
      <c r="C356" s="188">
        <f t="shared" si="97"/>
        <v>272161.84201353189</v>
      </c>
      <c r="D356" s="188">
        <f t="shared" si="94"/>
        <v>1134.0076750563828</v>
      </c>
      <c r="E356" s="188">
        <f t="shared" si="101"/>
        <v>24230.81401226719</v>
      </c>
      <c r="F356" s="188">
        <f t="shared" si="95"/>
        <v>25364.821687323572</v>
      </c>
      <c r="G356" s="188">
        <f t="shared" si="96"/>
        <v>247931.0280012647</v>
      </c>
      <c r="H356" s="188">
        <f>G366*J$2/12</f>
        <v>0</v>
      </c>
      <c r="I356" s="188">
        <f t="shared" si="106"/>
        <v>0</v>
      </c>
      <c r="J356" s="188">
        <f t="shared" si="107"/>
        <v>0</v>
      </c>
      <c r="K356" s="188">
        <f t="shared" si="98"/>
        <v>0</v>
      </c>
      <c r="L356" s="188">
        <f t="shared" si="99"/>
        <v>25364.821687323572</v>
      </c>
    </row>
    <row r="357" spans="1:12">
      <c r="A357" s="114">
        <v>30</v>
      </c>
      <c r="B357" s="182">
        <f t="shared" si="100"/>
        <v>351</v>
      </c>
      <c r="C357" s="188">
        <f t="shared" si="97"/>
        <v>247931.0280012647</v>
      </c>
      <c r="D357" s="188">
        <f t="shared" si="94"/>
        <v>1033.0459500052696</v>
      </c>
      <c r="E357" s="188">
        <f t="shared" si="101"/>
        <v>24331.775737318301</v>
      </c>
      <c r="F357" s="188">
        <f t="shared" si="95"/>
        <v>25364.821687323572</v>
      </c>
      <c r="G357" s="188">
        <f t="shared" si="96"/>
        <v>223599.2522639464</v>
      </c>
      <c r="H357" s="188">
        <f>G366*J$2/12</f>
        <v>0</v>
      </c>
      <c r="I357" s="188">
        <f t="shared" si="106"/>
        <v>0</v>
      </c>
      <c r="J357" s="188">
        <f t="shared" si="107"/>
        <v>0</v>
      </c>
      <c r="K357" s="188">
        <f t="shared" si="98"/>
        <v>0</v>
      </c>
      <c r="L357" s="188">
        <f t="shared" si="99"/>
        <v>25364.821687323572</v>
      </c>
    </row>
    <row r="358" spans="1:12">
      <c r="A358" s="114">
        <v>30</v>
      </c>
      <c r="B358" s="182">
        <f t="shared" si="100"/>
        <v>352</v>
      </c>
      <c r="C358" s="188">
        <f t="shared" si="97"/>
        <v>223599.2522639464</v>
      </c>
      <c r="D358" s="188">
        <f t="shared" si="94"/>
        <v>931.66355109977667</v>
      </c>
      <c r="E358" s="188">
        <f t="shared" si="101"/>
        <v>24433.158136223796</v>
      </c>
      <c r="F358" s="188">
        <f t="shared" si="95"/>
        <v>25364.821687323572</v>
      </c>
      <c r="G358" s="188">
        <f t="shared" si="96"/>
        <v>199166.09412772261</v>
      </c>
      <c r="H358" s="188">
        <f>G366*J$2/12</f>
        <v>0</v>
      </c>
      <c r="I358" s="188">
        <f t="shared" si="106"/>
        <v>0</v>
      </c>
      <c r="J358" s="188">
        <f t="shared" si="107"/>
        <v>0</v>
      </c>
      <c r="K358" s="188">
        <f t="shared" si="98"/>
        <v>0</v>
      </c>
      <c r="L358" s="188">
        <f t="shared" si="99"/>
        <v>25364.821687323572</v>
      </c>
    </row>
    <row r="359" spans="1:12">
      <c r="A359" s="114">
        <v>30</v>
      </c>
      <c r="B359" s="182">
        <f t="shared" si="100"/>
        <v>353</v>
      </c>
      <c r="C359" s="188">
        <f t="shared" si="97"/>
        <v>199166.09412772261</v>
      </c>
      <c r="D359" s="188">
        <f t="shared" si="94"/>
        <v>829.85872553217757</v>
      </c>
      <c r="E359" s="188">
        <f t="shared" si="101"/>
        <v>24534.962961791396</v>
      </c>
      <c r="F359" s="188">
        <f t="shared" si="95"/>
        <v>25364.821687323572</v>
      </c>
      <c r="G359" s="188">
        <f t="shared" si="96"/>
        <v>174631.13116593121</v>
      </c>
      <c r="H359" s="188">
        <f>G366*J$2/12</f>
        <v>0</v>
      </c>
      <c r="I359" s="188">
        <f t="shared" si="106"/>
        <v>0</v>
      </c>
      <c r="J359" s="188">
        <f t="shared" si="107"/>
        <v>0</v>
      </c>
      <c r="K359" s="188">
        <f t="shared" si="98"/>
        <v>0</v>
      </c>
      <c r="L359" s="188">
        <f t="shared" si="99"/>
        <v>25364.821687323572</v>
      </c>
    </row>
    <row r="360" spans="1:12">
      <c r="A360" s="114">
        <v>30</v>
      </c>
      <c r="B360" s="182">
        <f t="shared" si="100"/>
        <v>354</v>
      </c>
      <c r="C360" s="188">
        <f t="shared" si="97"/>
        <v>174631.13116593121</v>
      </c>
      <c r="D360" s="188">
        <f t="shared" si="94"/>
        <v>727.62971319138012</v>
      </c>
      <c r="E360" s="188">
        <f t="shared" si="101"/>
        <v>24637.191974132191</v>
      </c>
      <c r="F360" s="188">
        <f t="shared" si="95"/>
        <v>25364.821687323572</v>
      </c>
      <c r="G360" s="188">
        <f t="shared" si="96"/>
        <v>149993.93919179903</v>
      </c>
      <c r="H360" s="188">
        <f>G366*J$2/12</f>
        <v>0</v>
      </c>
      <c r="I360" s="188">
        <f t="shared" si="106"/>
        <v>0</v>
      </c>
      <c r="J360" s="188">
        <f t="shared" si="107"/>
        <v>0</v>
      </c>
      <c r="K360" s="188">
        <f t="shared" si="98"/>
        <v>0</v>
      </c>
      <c r="L360" s="188">
        <f t="shared" si="99"/>
        <v>25364.821687323572</v>
      </c>
    </row>
    <row r="361" spans="1:12">
      <c r="A361" s="114">
        <v>30</v>
      </c>
      <c r="B361" s="182">
        <f t="shared" si="100"/>
        <v>355</v>
      </c>
      <c r="C361" s="188">
        <f t="shared" si="97"/>
        <v>149993.93919179903</v>
      </c>
      <c r="D361" s="188">
        <f t="shared" si="94"/>
        <v>624.97474663249602</v>
      </c>
      <c r="E361" s="188">
        <f t="shared" si="101"/>
        <v>24739.846940691077</v>
      </c>
      <c r="F361" s="188">
        <f t="shared" si="95"/>
        <v>25364.821687323572</v>
      </c>
      <c r="G361" s="188">
        <f t="shared" si="96"/>
        <v>125254.09225110796</v>
      </c>
      <c r="H361" s="188">
        <f>G366*J$2/12</f>
        <v>0</v>
      </c>
      <c r="I361" s="188">
        <f t="shared" si="106"/>
        <v>0</v>
      </c>
      <c r="J361" s="188">
        <f t="shared" si="107"/>
        <v>0</v>
      </c>
      <c r="K361" s="188">
        <f t="shared" si="98"/>
        <v>0</v>
      </c>
      <c r="L361" s="188">
        <f t="shared" si="99"/>
        <v>25364.821687323572</v>
      </c>
    </row>
    <row r="362" spans="1:12">
      <c r="A362" s="114">
        <v>30</v>
      </c>
      <c r="B362" s="182">
        <f t="shared" si="100"/>
        <v>356</v>
      </c>
      <c r="C362" s="188">
        <f t="shared" si="97"/>
        <v>125254.09225110796</v>
      </c>
      <c r="D362" s="188">
        <f t="shared" si="94"/>
        <v>521.8920510462832</v>
      </c>
      <c r="E362" s="188">
        <f t="shared" si="101"/>
        <v>24842.929636277287</v>
      </c>
      <c r="F362" s="188">
        <f t="shared" si="95"/>
        <v>25364.821687323572</v>
      </c>
      <c r="G362" s="188">
        <f t="shared" si="96"/>
        <v>100411.16261483067</v>
      </c>
      <c r="H362" s="188">
        <f>G366*J$2/12</f>
        <v>0</v>
      </c>
      <c r="I362" s="188">
        <f t="shared" si="106"/>
        <v>0</v>
      </c>
      <c r="J362" s="188">
        <f t="shared" si="107"/>
        <v>0</v>
      </c>
      <c r="K362" s="188">
        <f t="shared" si="98"/>
        <v>0</v>
      </c>
      <c r="L362" s="188">
        <f t="shared" si="99"/>
        <v>25364.821687323572</v>
      </c>
    </row>
    <row r="363" spans="1:12">
      <c r="A363" s="114">
        <v>30</v>
      </c>
      <c r="B363" s="182">
        <f t="shared" si="100"/>
        <v>357</v>
      </c>
      <c r="C363" s="188">
        <f t="shared" si="97"/>
        <v>100411.16261483067</v>
      </c>
      <c r="D363" s="188">
        <f t="shared" si="94"/>
        <v>418.3798442284612</v>
      </c>
      <c r="E363" s="188">
        <f t="shared" si="101"/>
        <v>24946.441843095112</v>
      </c>
      <c r="F363" s="188">
        <f t="shared" si="95"/>
        <v>25364.821687323572</v>
      </c>
      <c r="G363" s="188">
        <f t="shared" si="96"/>
        <v>75464.720771735563</v>
      </c>
      <c r="H363" s="188">
        <f>G366*J$2/12</f>
        <v>0</v>
      </c>
      <c r="I363" s="188">
        <f t="shared" si="106"/>
        <v>0</v>
      </c>
      <c r="J363" s="188">
        <f t="shared" si="107"/>
        <v>0</v>
      </c>
      <c r="K363" s="188">
        <f t="shared" si="98"/>
        <v>0</v>
      </c>
      <c r="L363" s="188">
        <f t="shared" si="99"/>
        <v>25364.821687323572</v>
      </c>
    </row>
    <row r="364" spans="1:12">
      <c r="A364" s="114">
        <v>30</v>
      </c>
      <c r="B364" s="182">
        <f t="shared" si="100"/>
        <v>358</v>
      </c>
      <c r="C364" s="188">
        <f t="shared" si="97"/>
        <v>75464.720771735563</v>
      </c>
      <c r="D364" s="188">
        <f t="shared" si="94"/>
        <v>314.43633654889817</v>
      </c>
      <c r="E364" s="188">
        <f t="shared" si="101"/>
        <v>25050.385350774675</v>
      </c>
      <c r="F364" s="188">
        <f t="shared" si="95"/>
        <v>25364.821687323572</v>
      </c>
      <c r="G364" s="188">
        <f t="shared" si="96"/>
        <v>50414.335420960888</v>
      </c>
      <c r="H364" s="188">
        <f>G366*J$2/12</f>
        <v>0</v>
      </c>
      <c r="I364" s="188">
        <f t="shared" si="106"/>
        <v>0</v>
      </c>
      <c r="J364" s="188">
        <f t="shared" si="107"/>
        <v>0</v>
      </c>
      <c r="K364" s="188">
        <f t="shared" si="98"/>
        <v>0</v>
      </c>
      <c r="L364" s="188">
        <f t="shared" si="99"/>
        <v>25364.821687323572</v>
      </c>
    </row>
    <row r="365" spans="1:12">
      <c r="A365" s="114">
        <v>30</v>
      </c>
      <c r="B365" s="182">
        <f t="shared" si="100"/>
        <v>359</v>
      </c>
      <c r="C365" s="188">
        <f t="shared" si="97"/>
        <v>50414.335420960888</v>
      </c>
      <c r="D365" s="188">
        <f t="shared" si="94"/>
        <v>210.05973092067038</v>
      </c>
      <c r="E365" s="188">
        <f t="shared" si="101"/>
        <v>25154.761956402901</v>
      </c>
      <c r="F365" s="188">
        <f t="shared" si="95"/>
        <v>25364.821687323572</v>
      </c>
      <c r="G365" s="188">
        <f t="shared" si="96"/>
        <v>25259.573464557987</v>
      </c>
      <c r="H365" s="188">
        <f>G366*J$2/12</f>
        <v>0</v>
      </c>
      <c r="I365" s="188">
        <f t="shared" si="106"/>
        <v>0</v>
      </c>
      <c r="J365" s="188">
        <f t="shared" si="107"/>
        <v>0</v>
      </c>
      <c r="K365" s="188">
        <f t="shared" si="98"/>
        <v>0</v>
      </c>
      <c r="L365" s="188">
        <f t="shared" si="99"/>
        <v>25364.821687323572</v>
      </c>
    </row>
    <row r="366" spans="1:12">
      <c r="A366" s="238">
        <v>30</v>
      </c>
      <c r="B366" s="239">
        <f t="shared" si="100"/>
        <v>360</v>
      </c>
      <c r="C366" s="240">
        <f t="shared" si="97"/>
        <v>25259.573464557987</v>
      </c>
      <c r="D366" s="240">
        <f t="shared" si="94"/>
        <v>105.24822276899162</v>
      </c>
      <c r="E366" s="240">
        <f t="shared" si="101"/>
        <v>25259.573464554582</v>
      </c>
      <c r="F366" s="240">
        <f t="shared" si="95"/>
        <v>25364.821687323572</v>
      </c>
      <c r="G366" s="240">
        <f t="shared" si="96"/>
        <v>3.4051481634378433E-9</v>
      </c>
      <c r="H366" s="240">
        <f>G366*J$2/12</f>
        <v>0</v>
      </c>
      <c r="I366" s="240">
        <f t="shared" si="106"/>
        <v>0</v>
      </c>
      <c r="J366" s="240">
        <f t="shared" si="107"/>
        <v>0</v>
      </c>
      <c r="K366" s="240">
        <f t="shared" si="98"/>
        <v>0</v>
      </c>
      <c r="L366" s="240">
        <f t="shared" si="99"/>
        <v>25364.821687323572</v>
      </c>
    </row>
    <row r="367" spans="1:12">
      <c r="A367" s="114">
        <v>31</v>
      </c>
      <c r="B367" s="182">
        <f t="shared" si="100"/>
        <v>361</v>
      </c>
      <c r="C367" s="188">
        <f t="shared" si="97"/>
        <v>3.4051481634378433E-9</v>
      </c>
      <c r="D367" s="188">
        <f t="shared" si="94"/>
        <v>1.4188117347657682E-11</v>
      </c>
      <c r="E367" s="188">
        <f t="shared" si="101"/>
        <v>25364.821687323558</v>
      </c>
      <c r="F367" s="188">
        <f t="shared" si="95"/>
        <v>25364.821687323572</v>
      </c>
      <c r="G367" s="188">
        <f t="shared" si="96"/>
        <v>-25364.821687320153</v>
      </c>
      <c r="H367" s="188">
        <f>G378*J$2/12</f>
        <v>0</v>
      </c>
      <c r="I367" s="188">
        <f t="shared" ref="I367:I378" si="108">(($C$367*$I$4)/12)</f>
        <v>0</v>
      </c>
      <c r="J367" s="188">
        <f t="shared" ref="J367:J378" si="109">(($C$367*$J$4)/12)</f>
        <v>0</v>
      </c>
      <c r="K367" s="188">
        <f t="shared" si="98"/>
        <v>0</v>
      </c>
      <c r="L367" s="188">
        <f t="shared" si="99"/>
        <v>25364.821687323572</v>
      </c>
    </row>
    <row r="368" spans="1:12">
      <c r="A368" s="114">
        <v>31</v>
      </c>
      <c r="B368" s="182">
        <f t="shared" si="100"/>
        <v>362</v>
      </c>
      <c r="C368" s="188">
        <f t="shared" si="97"/>
        <v>-25364.821687320153</v>
      </c>
      <c r="D368" s="188">
        <f t="shared" si="94"/>
        <v>-105.68675703050064</v>
      </c>
      <c r="E368" s="188">
        <f t="shared" si="101"/>
        <v>25470.508444354073</v>
      </c>
      <c r="F368" s="188">
        <f t="shared" si="95"/>
        <v>25364.821687323572</v>
      </c>
      <c r="G368" s="188">
        <f t="shared" si="96"/>
        <v>-50835.330131674229</v>
      </c>
      <c r="H368" s="188">
        <f>G378*J$2/12</f>
        <v>0</v>
      </c>
      <c r="I368" s="188">
        <f t="shared" si="108"/>
        <v>0</v>
      </c>
      <c r="J368" s="188">
        <f t="shared" si="109"/>
        <v>0</v>
      </c>
      <c r="K368" s="188">
        <f t="shared" si="98"/>
        <v>0</v>
      </c>
      <c r="L368" s="188">
        <f t="shared" si="99"/>
        <v>25364.821687323572</v>
      </c>
    </row>
    <row r="369" spans="1:12">
      <c r="A369" s="114">
        <v>31</v>
      </c>
      <c r="B369" s="182">
        <f t="shared" si="100"/>
        <v>363</v>
      </c>
      <c r="C369" s="188">
        <f t="shared" si="97"/>
        <v>-50835.330131674229</v>
      </c>
      <c r="D369" s="188">
        <f t="shared" si="94"/>
        <v>-211.81387554864264</v>
      </c>
      <c r="E369" s="188">
        <f t="shared" si="101"/>
        <v>25576.635562872216</v>
      </c>
      <c r="F369" s="188">
        <f t="shared" si="95"/>
        <v>25364.821687323572</v>
      </c>
      <c r="G369" s="188">
        <f t="shared" si="96"/>
        <v>-76411.965694546438</v>
      </c>
      <c r="H369" s="188">
        <f>G378*J$2/12</f>
        <v>0</v>
      </c>
      <c r="I369" s="188">
        <f t="shared" si="108"/>
        <v>0</v>
      </c>
      <c r="J369" s="188">
        <f t="shared" si="109"/>
        <v>0</v>
      </c>
      <c r="K369" s="188">
        <f t="shared" si="98"/>
        <v>0</v>
      </c>
      <c r="L369" s="188">
        <f t="shared" si="99"/>
        <v>25364.821687323572</v>
      </c>
    </row>
    <row r="370" spans="1:12">
      <c r="A370" s="114">
        <v>31</v>
      </c>
      <c r="B370" s="182">
        <f t="shared" si="100"/>
        <v>364</v>
      </c>
      <c r="C370" s="188">
        <f t="shared" si="97"/>
        <v>-76411.965694546438</v>
      </c>
      <c r="D370" s="188">
        <f t="shared" si="94"/>
        <v>-318.38319039394349</v>
      </c>
      <c r="E370" s="188">
        <f t="shared" si="101"/>
        <v>25683.204877717515</v>
      </c>
      <c r="F370" s="188">
        <f t="shared" si="95"/>
        <v>25364.821687323572</v>
      </c>
      <c r="G370" s="188">
        <f t="shared" si="96"/>
        <v>-102095.17057226395</v>
      </c>
      <c r="H370" s="188">
        <f>G378*J$2/12</f>
        <v>0</v>
      </c>
      <c r="I370" s="188">
        <f t="shared" si="108"/>
        <v>0</v>
      </c>
      <c r="J370" s="188">
        <f t="shared" si="109"/>
        <v>0</v>
      </c>
      <c r="K370" s="188">
        <f t="shared" si="98"/>
        <v>0</v>
      </c>
      <c r="L370" s="188">
        <f t="shared" si="99"/>
        <v>25364.821687323572</v>
      </c>
    </row>
    <row r="371" spans="1:12">
      <c r="A371" s="114">
        <v>31</v>
      </c>
      <c r="B371" s="182">
        <f t="shared" si="100"/>
        <v>365</v>
      </c>
      <c r="C371" s="188">
        <f t="shared" si="97"/>
        <v>-102095.17057226395</v>
      </c>
      <c r="D371" s="188">
        <f t="shared" si="94"/>
        <v>-425.39654405109985</v>
      </c>
      <c r="E371" s="188">
        <f t="shared" si="101"/>
        <v>25790.218231374671</v>
      </c>
      <c r="F371" s="188">
        <f t="shared" si="95"/>
        <v>25364.821687323572</v>
      </c>
      <c r="G371" s="188">
        <f t="shared" si="96"/>
        <v>-127885.38880363862</v>
      </c>
      <c r="H371" s="188">
        <f>G378*J$2/12</f>
        <v>0</v>
      </c>
      <c r="I371" s="188">
        <f t="shared" si="108"/>
        <v>0</v>
      </c>
      <c r="J371" s="188">
        <f t="shared" si="109"/>
        <v>0</v>
      </c>
      <c r="K371" s="188">
        <f t="shared" si="98"/>
        <v>0</v>
      </c>
      <c r="L371" s="188">
        <f t="shared" si="99"/>
        <v>25364.821687323572</v>
      </c>
    </row>
    <row r="372" spans="1:12">
      <c r="A372" s="114">
        <v>31</v>
      </c>
      <c r="B372" s="182">
        <f t="shared" si="100"/>
        <v>366</v>
      </c>
      <c r="C372" s="188">
        <f t="shared" si="97"/>
        <v>-127885.38880363862</v>
      </c>
      <c r="D372" s="188">
        <f t="shared" si="94"/>
        <v>-532.85578668182768</v>
      </c>
      <c r="E372" s="188">
        <f t="shared" si="101"/>
        <v>25897.677474005399</v>
      </c>
      <c r="F372" s="188">
        <f t="shared" si="95"/>
        <v>25364.821687323572</v>
      </c>
      <c r="G372" s="188">
        <f t="shared" si="96"/>
        <v>-153783.06627764401</v>
      </c>
      <c r="H372" s="188">
        <f>G378*J$2/12</f>
        <v>0</v>
      </c>
      <c r="I372" s="188">
        <f t="shared" si="108"/>
        <v>0</v>
      </c>
      <c r="J372" s="188">
        <f t="shared" si="109"/>
        <v>0</v>
      </c>
      <c r="K372" s="188">
        <f t="shared" si="98"/>
        <v>0</v>
      </c>
      <c r="L372" s="188">
        <f t="shared" si="99"/>
        <v>25364.821687323572</v>
      </c>
    </row>
    <row r="373" spans="1:12">
      <c r="A373" s="114">
        <v>31</v>
      </c>
      <c r="B373" s="182">
        <f t="shared" si="100"/>
        <v>367</v>
      </c>
      <c r="C373" s="188">
        <f t="shared" si="97"/>
        <v>-153783.06627764401</v>
      </c>
      <c r="D373" s="188">
        <f t="shared" si="94"/>
        <v>-640.76277615685012</v>
      </c>
      <c r="E373" s="188">
        <f t="shared" si="101"/>
        <v>26005.584463480423</v>
      </c>
      <c r="F373" s="188">
        <f t="shared" si="95"/>
        <v>25364.821687323572</v>
      </c>
      <c r="G373" s="188">
        <f t="shared" si="96"/>
        <v>-179788.65074112444</v>
      </c>
      <c r="H373" s="188">
        <f>G378*J$2/12</f>
        <v>0</v>
      </c>
      <c r="I373" s="188">
        <f t="shared" si="108"/>
        <v>0</v>
      </c>
      <c r="J373" s="188">
        <f t="shared" si="109"/>
        <v>0</v>
      </c>
      <c r="K373" s="188">
        <f t="shared" si="98"/>
        <v>0</v>
      </c>
      <c r="L373" s="188">
        <f t="shared" si="99"/>
        <v>25364.821687323572</v>
      </c>
    </row>
    <row r="374" spans="1:12">
      <c r="A374" s="114">
        <v>31</v>
      </c>
      <c r="B374" s="182">
        <f t="shared" si="100"/>
        <v>368</v>
      </c>
      <c r="C374" s="188">
        <f t="shared" si="97"/>
        <v>-179788.65074112444</v>
      </c>
      <c r="D374" s="188">
        <f t="shared" si="94"/>
        <v>-749.11937808801849</v>
      </c>
      <c r="E374" s="188">
        <f t="shared" si="101"/>
        <v>26113.941065411593</v>
      </c>
      <c r="F374" s="188">
        <f t="shared" si="95"/>
        <v>25364.821687323572</v>
      </c>
      <c r="G374" s="188">
        <f t="shared" si="96"/>
        <v>-205902.59180653602</v>
      </c>
      <c r="H374" s="188">
        <f>G378*J$2/12</f>
        <v>0</v>
      </c>
      <c r="I374" s="188">
        <f t="shared" si="108"/>
        <v>0</v>
      </c>
      <c r="J374" s="188">
        <f t="shared" si="109"/>
        <v>0</v>
      </c>
      <c r="K374" s="188">
        <f t="shared" si="98"/>
        <v>0</v>
      </c>
      <c r="L374" s="188">
        <f t="shared" si="99"/>
        <v>25364.821687323572</v>
      </c>
    </row>
    <row r="375" spans="1:12">
      <c r="A375" s="114">
        <v>31</v>
      </c>
      <c r="B375" s="182">
        <f t="shared" si="100"/>
        <v>369</v>
      </c>
      <c r="C375" s="188">
        <f t="shared" si="97"/>
        <v>-205902.59180653602</v>
      </c>
      <c r="D375" s="188">
        <f t="shared" si="94"/>
        <v>-857.92746586056683</v>
      </c>
      <c r="E375" s="188">
        <f t="shared" si="101"/>
        <v>26222.749153184141</v>
      </c>
      <c r="F375" s="188">
        <f t="shared" si="95"/>
        <v>25364.821687323572</v>
      </c>
      <c r="G375" s="188">
        <f t="shared" si="96"/>
        <v>-232125.34095972017</v>
      </c>
      <c r="H375" s="188">
        <f>G378*J$2/12</f>
        <v>0</v>
      </c>
      <c r="I375" s="188">
        <f t="shared" si="108"/>
        <v>0</v>
      </c>
      <c r="J375" s="188">
        <f t="shared" si="109"/>
        <v>0</v>
      </c>
      <c r="K375" s="188">
        <f t="shared" si="98"/>
        <v>0</v>
      </c>
      <c r="L375" s="188">
        <f t="shared" si="99"/>
        <v>25364.821687323572</v>
      </c>
    </row>
    <row r="376" spans="1:12">
      <c r="A376" s="114">
        <v>31</v>
      </c>
      <c r="B376" s="182">
        <f t="shared" si="100"/>
        <v>370</v>
      </c>
      <c r="C376" s="188">
        <f t="shared" si="97"/>
        <v>-232125.34095972017</v>
      </c>
      <c r="D376" s="188">
        <f t="shared" si="94"/>
        <v>-967.18892066550086</v>
      </c>
      <c r="E376" s="188">
        <f t="shared" si="101"/>
        <v>26332.010607989072</v>
      </c>
      <c r="F376" s="188">
        <f t="shared" si="95"/>
        <v>25364.821687323572</v>
      </c>
      <c r="G376" s="188">
        <f t="shared" si="96"/>
        <v>-258457.35156770924</v>
      </c>
      <c r="H376" s="188">
        <f>G378*J$2/12</f>
        <v>0</v>
      </c>
      <c r="I376" s="188">
        <f t="shared" si="108"/>
        <v>0</v>
      </c>
      <c r="J376" s="188">
        <f t="shared" si="109"/>
        <v>0</v>
      </c>
      <c r="K376" s="188">
        <f t="shared" si="98"/>
        <v>0</v>
      </c>
      <c r="L376" s="188">
        <f t="shared" si="99"/>
        <v>25364.821687323572</v>
      </c>
    </row>
    <row r="377" spans="1:12">
      <c r="A377" s="114">
        <v>31</v>
      </c>
      <c r="B377" s="182">
        <f t="shared" si="100"/>
        <v>371</v>
      </c>
      <c r="C377" s="188">
        <f t="shared" si="97"/>
        <v>-258457.35156770924</v>
      </c>
      <c r="D377" s="188">
        <f t="shared" si="94"/>
        <v>-1076.905631532122</v>
      </c>
      <c r="E377" s="188">
        <f t="shared" si="101"/>
        <v>26441.727318855694</v>
      </c>
      <c r="F377" s="188">
        <f t="shared" si="95"/>
        <v>25364.821687323572</v>
      </c>
      <c r="G377" s="188">
        <f t="shared" si="96"/>
        <v>-284899.07888656494</v>
      </c>
      <c r="H377" s="188">
        <f>G378*J$2/12</f>
        <v>0</v>
      </c>
      <c r="I377" s="188">
        <f t="shared" si="108"/>
        <v>0</v>
      </c>
      <c r="J377" s="188">
        <f t="shared" si="109"/>
        <v>0</v>
      </c>
      <c r="K377" s="188">
        <f t="shared" si="98"/>
        <v>0</v>
      </c>
      <c r="L377" s="188">
        <f t="shared" si="99"/>
        <v>25364.821687323572</v>
      </c>
    </row>
    <row r="378" spans="1:12">
      <c r="A378" s="238">
        <v>31</v>
      </c>
      <c r="B378" s="239">
        <f t="shared" si="100"/>
        <v>372</v>
      </c>
      <c r="C378" s="240">
        <f t="shared" si="97"/>
        <v>-284899.07888656494</v>
      </c>
      <c r="D378" s="240">
        <f t="shared" si="94"/>
        <v>-1187.0794953606874</v>
      </c>
      <c r="E378" s="240">
        <f t="shared" si="101"/>
        <v>26551.901182684262</v>
      </c>
      <c r="F378" s="240">
        <f t="shared" si="95"/>
        <v>25364.821687323572</v>
      </c>
      <c r="G378" s="240">
        <f t="shared" si="96"/>
        <v>-311450.98006924917</v>
      </c>
      <c r="H378" s="240">
        <f>G378*J$2/12</f>
        <v>0</v>
      </c>
      <c r="I378" s="240">
        <f t="shared" si="108"/>
        <v>0</v>
      </c>
      <c r="J378" s="240">
        <f t="shared" si="109"/>
        <v>0</v>
      </c>
      <c r="K378" s="240">
        <f t="shared" si="98"/>
        <v>0</v>
      </c>
      <c r="L378" s="240">
        <f t="shared" si="99"/>
        <v>25364.821687323572</v>
      </c>
    </row>
    <row r="379" spans="1:12">
      <c r="A379" s="114">
        <v>32</v>
      </c>
      <c r="B379" s="182">
        <f t="shared" si="100"/>
        <v>373</v>
      </c>
      <c r="C379" s="188">
        <f t="shared" si="97"/>
        <v>-311450.98006924917</v>
      </c>
      <c r="D379" s="188">
        <f t="shared" si="94"/>
        <v>-1297.7124169552051</v>
      </c>
      <c r="E379" s="188">
        <f t="shared" si="101"/>
        <v>26662.534104278777</v>
      </c>
      <c r="F379" s="188">
        <f t="shared" si="95"/>
        <v>25364.821687323572</v>
      </c>
      <c r="G379" s="188">
        <f t="shared" si="96"/>
        <v>-338113.51417352795</v>
      </c>
      <c r="H379" s="188">
        <f>G390*J$2/12</f>
        <v>0</v>
      </c>
      <c r="I379" s="188">
        <f t="shared" ref="I379:I390" si="110">(($C$379*$I$4)/12)</f>
        <v>0</v>
      </c>
      <c r="J379" s="188">
        <f t="shared" ref="J379:J390" si="111">(($C$379*$J$4)/12)</f>
        <v>0</v>
      </c>
      <c r="K379" s="188">
        <f t="shared" si="98"/>
        <v>0</v>
      </c>
      <c r="L379" s="188">
        <f t="shared" si="99"/>
        <v>25364.821687323572</v>
      </c>
    </row>
    <row r="380" spans="1:12">
      <c r="A380" s="114">
        <v>32</v>
      </c>
      <c r="B380" s="182">
        <f t="shared" si="100"/>
        <v>374</v>
      </c>
      <c r="C380" s="188">
        <f t="shared" si="97"/>
        <v>-338113.51417352795</v>
      </c>
      <c r="D380" s="188">
        <f t="shared" si="94"/>
        <v>-1408.8063090563664</v>
      </c>
      <c r="E380" s="188">
        <f t="shared" si="101"/>
        <v>26773.627996379939</v>
      </c>
      <c r="F380" s="188">
        <f t="shared" si="95"/>
        <v>25364.821687323572</v>
      </c>
      <c r="G380" s="188">
        <f t="shared" si="96"/>
        <v>-364887.14216990786</v>
      </c>
      <c r="H380" s="188">
        <f>G390*J$2/12</f>
        <v>0</v>
      </c>
      <c r="I380" s="188">
        <f t="shared" si="110"/>
        <v>0</v>
      </c>
      <c r="J380" s="188">
        <f t="shared" si="111"/>
        <v>0</v>
      </c>
      <c r="K380" s="188">
        <f t="shared" si="98"/>
        <v>0</v>
      </c>
      <c r="L380" s="188">
        <f t="shared" si="99"/>
        <v>25364.821687323572</v>
      </c>
    </row>
    <row r="381" spans="1:12">
      <c r="A381" s="114">
        <v>32</v>
      </c>
      <c r="B381" s="182">
        <f t="shared" si="100"/>
        <v>375</v>
      </c>
      <c r="C381" s="188">
        <f t="shared" si="97"/>
        <v>-364887.14216990786</v>
      </c>
      <c r="D381" s="188">
        <f t="shared" si="94"/>
        <v>-1520.3630923746161</v>
      </c>
      <c r="E381" s="188">
        <f t="shared" si="101"/>
        <v>26885.184779698189</v>
      </c>
      <c r="F381" s="188">
        <f t="shared" si="95"/>
        <v>25364.821687323572</v>
      </c>
      <c r="G381" s="188">
        <f t="shared" si="96"/>
        <v>-391772.32694960607</v>
      </c>
      <c r="H381" s="188">
        <f>G390*J$2/12</f>
        <v>0</v>
      </c>
      <c r="I381" s="188">
        <f t="shared" si="110"/>
        <v>0</v>
      </c>
      <c r="J381" s="188">
        <f t="shared" si="111"/>
        <v>0</v>
      </c>
      <c r="K381" s="188">
        <f t="shared" si="98"/>
        <v>0</v>
      </c>
      <c r="L381" s="188">
        <f t="shared" si="99"/>
        <v>25364.821687323572</v>
      </c>
    </row>
    <row r="382" spans="1:12">
      <c r="A382" s="114">
        <v>32</v>
      </c>
      <c r="B382" s="182">
        <f t="shared" si="100"/>
        <v>376</v>
      </c>
      <c r="C382" s="188">
        <f t="shared" si="97"/>
        <v>-391772.32694960607</v>
      </c>
      <c r="D382" s="188">
        <f t="shared" si="94"/>
        <v>-1632.3846956233585</v>
      </c>
      <c r="E382" s="188">
        <f t="shared" si="101"/>
        <v>26997.20638294693</v>
      </c>
      <c r="F382" s="188">
        <f t="shared" si="95"/>
        <v>25364.821687323572</v>
      </c>
      <c r="G382" s="188">
        <f t="shared" si="96"/>
        <v>-418769.53333255299</v>
      </c>
      <c r="H382" s="188">
        <f>G390*J$2/12</f>
        <v>0</v>
      </c>
      <c r="I382" s="188">
        <f t="shared" si="110"/>
        <v>0</v>
      </c>
      <c r="J382" s="188">
        <f t="shared" si="111"/>
        <v>0</v>
      </c>
      <c r="K382" s="188">
        <f t="shared" si="98"/>
        <v>0</v>
      </c>
      <c r="L382" s="188">
        <f t="shared" si="99"/>
        <v>25364.821687323572</v>
      </c>
    </row>
    <row r="383" spans="1:12">
      <c r="A383" s="114">
        <v>32</v>
      </c>
      <c r="B383" s="182">
        <f t="shared" si="100"/>
        <v>377</v>
      </c>
      <c r="C383" s="188">
        <f t="shared" si="97"/>
        <v>-418769.53333255299</v>
      </c>
      <c r="D383" s="188">
        <f t="shared" si="94"/>
        <v>-1744.8730555523043</v>
      </c>
      <c r="E383" s="188">
        <f t="shared" si="101"/>
        <v>27109.694742875876</v>
      </c>
      <c r="F383" s="188">
        <f t="shared" si="95"/>
        <v>25364.821687323572</v>
      </c>
      <c r="G383" s="188">
        <f t="shared" si="96"/>
        <v>-445879.22807542887</v>
      </c>
      <c r="H383" s="188">
        <f>G390*J$2/12</f>
        <v>0</v>
      </c>
      <c r="I383" s="188">
        <f t="shared" si="110"/>
        <v>0</v>
      </c>
      <c r="J383" s="188">
        <f t="shared" si="111"/>
        <v>0</v>
      </c>
      <c r="K383" s="188">
        <f t="shared" si="98"/>
        <v>0</v>
      </c>
      <c r="L383" s="188">
        <f t="shared" si="99"/>
        <v>25364.821687323572</v>
      </c>
    </row>
    <row r="384" spans="1:12">
      <c r="A384" s="114">
        <v>32</v>
      </c>
      <c r="B384" s="182">
        <f t="shared" si="100"/>
        <v>378</v>
      </c>
      <c r="C384" s="188">
        <f t="shared" si="97"/>
        <v>-445879.22807542887</v>
      </c>
      <c r="D384" s="188">
        <f t="shared" si="94"/>
        <v>-1857.8301169809538</v>
      </c>
      <c r="E384" s="188">
        <f t="shared" si="101"/>
        <v>27222.651804304525</v>
      </c>
      <c r="F384" s="188">
        <f t="shared" si="95"/>
        <v>25364.821687323572</v>
      </c>
      <c r="G384" s="188">
        <f t="shared" si="96"/>
        <v>-473101.87987973337</v>
      </c>
      <c r="H384" s="188">
        <f>G390*J$2/12</f>
        <v>0</v>
      </c>
      <c r="I384" s="188">
        <f t="shared" si="110"/>
        <v>0</v>
      </c>
      <c r="J384" s="188">
        <f t="shared" si="111"/>
        <v>0</v>
      </c>
      <c r="K384" s="188">
        <f t="shared" si="98"/>
        <v>0</v>
      </c>
      <c r="L384" s="188">
        <f t="shared" si="99"/>
        <v>25364.821687323572</v>
      </c>
    </row>
    <row r="385" spans="1:12">
      <c r="A385" s="114">
        <v>32</v>
      </c>
      <c r="B385" s="182">
        <f t="shared" si="100"/>
        <v>379</v>
      </c>
      <c r="C385" s="188">
        <f t="shared" si="97"/>
        <v>-473101.87987973337</v>
      </c>
      <c r="D385" s="188">
        <f t="shared" si="94"/>
        <v>-1971.2578328322224</v>
      </c>
      <c r="E385" s="188">
        <f t="shared" si="101"/>
        <v>27336.079520155796</v>
      </c>
      <c r="F385" s="188">
        <f t="shared" si="95"/>
        <v>25364.821687323572</v>
      </c>
      <c r="G385" s="188">
        <f t="shared" si="96"/>
        <v>-500437.95939988917</v>
      </c>
      <c r="H385" s="188">
        <f>G390*J$2/12</f>
        <v>0</v>
      </c>
      <c r="I385" s="188">
        <f t="shared" si="110"/>
        <v>0</v>
      </c>
      <c r="J385" s="188">
        <f t="shared" si="111"/>
        <v>0</v>
      </c>
      <c r="K385" s="188">
        <f t="shared" si="98"/>
        <v>0</v>
      </c>
      <c r="L385" s="188">
        <f t="shared" si="99"/>
        <v>25364.821687323572</v>
      </c>
    </row>
    <row r="386" spans="1:12">
      <c r="A386" s="114">
        <v>32</v>
      </c>
      <c r="B386" s="182">
        <f t="shared" si="100"/>
        <v>380</v>
      </c>
      <c r="C386" s="188">
        <f t="shared" si="97"/>
        <v>-500437.95939988917</v>
      </c>
      <c r="D386" s="188">
        <f t="shared" si="94"/>
        <v>-2085.1581641662051</v>
      </c>
      <c r="E386" s="188">
        <f t="shared" si="101"/>
        <v>27449.979851489778</v>
      </c>
      <c r="F386" s="188">
        <f t="shared" si="95"/>
        <v>25364.821687323572</v>
      </c>
      <c r="G386" s="188">
        <f t="shared" si="96"/>
        <v>-527887.93925137899</v>
      </c>
      <c r="H386" s="188">
        <f>G390*J$2/12</f>
        <v>0</v>
      </c>
      <c r="I386" s="188">
        <f t="shared" si="110"/>
        <v>0</v>
      </c>
      <c r="J386" s="188">
        <f t="shared" si="111"/>
        <v>0</v>
      </c>
      <c r="K386" s="188">
        <f t="shared" si="98"/>
        <v>0</v>
      </c>
      <c r="L386" s="188">
        <f t="shared" si="99"/>
        <v>25364.821687323572</v>
      </c>
    </row>
    <row r="387" spans="1:12">
      <c r="A387" s="114">
        <v>32</v>
      </c>
      <c r="B387" s="182">
        <f t="shared" si="100"/>
        <v>381</v>
      </c>
      <c r="C387" s="188">
        <f t="shared" si="97"/>
        <v>-527887.93925137899</v>
      </c>
      <c r="D387" s="188">
        <f t="shared" si="94"/>
        <v>-2199.5330802140793</v>
      </c>
      <c r="E387" s="188">
        <f t="shared" si="101"/>
        <v>27564.35476753765</v>
      </c>
      <c r="F387" s="188">
        <f t="shared" si="95"/>
        <v>25364.821687323572</v>
      </c>
      <c r="G387" s="188">
        <f t="shared" si="96"/>
        <v>-555452.29401891667</v>
      </c>
      <c r="H387" s="188">
        <f>G390*J$2/12</f>
        <v>0</v>
      </c>
      <c r="I387" s="188">
        <f t="shared" si="110"/>
        <v>0</v>
      </c>
      <c r="J387" s="188">
        <f t="shared" si="111"/>
        <v>0</v>
      </c>
      <c r="K387" s="188">
        <f t="shared" si="98"/>
        <v>0</v>
      </c>
      <c r="L387" s="188">
        <f t="shared" si="99"/>
        <v>25364.821687323572</v>
      </c>
    </row>
    <row r="388" spans="1:12">
      <c r="A388" s="114">
        <v>32</v>
      </c>
      <c r="B388" s="182">
        <f t="shared" si="100"/>
        <v>382</v>
      </c>
      <c r="C388" s="188">
        <f t="shared" si="97"/>
        <v>-555452.29401891667</v>
      </c>
      <c r="D388" s="188">
        <f t="shared" si="94"/>
        <v>-2314.3845584121532</v>
      </c>
      <c r="E388" s="188">
        <f t="shared" si="101"/>
        <v>27679.206245735724</v>
      </c>
      <c r="F388" s="188">
        <f t="shared" si="95"/>
        <v>25364.821687323572</v>
      </c>
      <c r="G388" s="188">
        <f t="shared" si="96"/>
        <v>-583131.50026465242</v>
      </c>
      <c r="H388" s="188">
        <f>G390*J$2/12</f>
        <v>0</v>
      </c>
      <c r="I388" s="188">
        <f t="shared" si="110"/>
        <v>0</v>
      </c>
      <c r="J388" s="188">
        <f t="shared" si="111"/>
        <v>0</v>
      </c>
      <c r="K388" s="188">
        <f t="shared" si="98"/>
        <v>0</v>
      </c>
      <c r="L388" s="188">
        <f t="shared" si="99"/>
        <v>25364.821687323572</v>
      </c>
    </row>
    <row r="389" spans="1:12">
      <c r="A389" s="114">
        <v>32</v>
      </c>
      <c r="B389" s="182">
        <f t="shared" si="100"/>
        <v>383</v>
      </c>
      <c r="C389" s="188">
        <f t="shared" si="97"/>
        <v>-583131.50026465242</v>
      </c>
      <c r="D389" s="188">
        <f t="shared" si="94"/>
        <v>-2429.7145844360516</v>
      </c>
      <c r="E389" s="188">
        <f t="shared" si="101"/>
        <v>27794.536271759625</v>
      </c>
      <c r="F389" s="188">
        <f t="shared" si="95"/>
        <v>25364.821687323572</v>
      </c>
      <c r="G389" s="188">
        <f t="shared" si="96"/>
        <v>-610926.03653641208</v>
      </c>
      <c r="H389" s="188">
        <f>G390*J$2/12</f>
        <v>0</v>
      </c>
      <c r="I389" s="188">
        <f t="shared" si="110"/>
        <v>0</v>
      </c>
      <c r="J389" s="188">
        <f t="shared" si="111"/>
        <v>0</v>
      </c>
      <c r="K389" s="188">
        <f t="shared" si="98"/>
        <v>0</v>
      </c>
      <c r="L389" s="188">
        <f t="shared" si="99"/>
        <v>25364.821687323572</v>
      </c>
    </row>
    <row r="390" spans="1:12">
      <c r="A390" s="238">
        <v>32</v>
      </c>
      <c r="B390" s="239">
        <f t="shared" si="100"/>
        <v>384</v>
      </c>
      <c r="C390" s="240">
        <f t="shared" si="97"/>
        <v>-610926.03653641208</v>
      </c>
      <c r="D390" s="240">
        <f t="shared" si="94"/>
        <v>-2545.5251522350504</v>
      </c>
      <c r="E390" s="240">
        <f t="shared" si="101"/>
        <v>27910.346839558624</v>
      </c>
      <c r="F390" s="240">
        <f t="shared" si="95"/>
        <v>25364.821687323572</v>
      </c>
      <c r="G390" s="240">
        <f t="shared" si="96"/>
        <v>-638836.38337597065</v>
      </c>
      <c r="H390" s="240">
        <f>G390*J$2/12</f>
        <v>0</v>
      </c>
      <c r="I390" s="240">
        <f t="shared" si="110"/>
        <v>0</v>
      </c>
      <c r="J390" s="240">
        <f t="shared" si="111"/>
        <v>0</v>
      </c>
      <c r="K390" s="240">
        <f t="shared" si="98"/>
        <v>0</v>
      </c>
      <c r="L390" s="240">
        <f t="shared" si="99"/>
        <v>25364.821687323572</v>
      </c>
    </row>
    <row r="391" spans="1:12">
      <c r="A391" s="114">
        <v>33</v>
      </c>
      <c r="B391" s="182">
        <f t="shared" si="100"/>
        <v>385</v>
      </c>
      <c r="C391" s="188">
        <f t="shared" si="97"/>
        <v>-638836.38337597065</v>
      </c>
      <c r="D391" s="188">
        <f t="shared" ref="D391:D454" si="112">(C391*$J$1)/12</f>
        <v>-2661.8182640665445</v>
      </c>
      <c r="E391" s="188">
        <f t="shared" si="101"/>
        <v>28026.639951390116</v>
      </c>
      <c r="F391" s="188">
        <f t="shared" ref="F391:F454" si="113">PMT($J$1/12,$E$3*12,-$C$7,0)</f>
        <v>25364.821687323572</v>
      </c>
      <c r="G391" s="188">
        <f t="shared" ref="G391:G454" si="114">C391-E391</f>
        <v>-666863.02332736074</v>
      </c>
      <c r="H391" s="188">
        <f>G402*J$2/12</f>
        <v>0</v>
      </c>
      <c r="I391" s="188">
        <f t="shared" ref="I391:I402" si="115">(($C$391*$I$4)/12)</f>
        <v>0</v>
      </c>
      <c r="J391" s="188">
        <f t="shared" ref="J391:J402" si="116">(($C$391*$J$4)/12)</f>
        <v>0</v>
      </c>
      <c r="K391" s="188">
        <f t="shared" si="98"/>
        <v>0</v>
      </c>
      <c r="L391" s="188">
        <f t="shared" si="99"/>
        <v>25364.821687323572</v>
      </c>
    </row>
    <row r="392" spans="1:12">
      <c r="A392" s="114">
        <v>33</v>
      </c>
      <c r="B392" s="182">
        <f t="shared" si="100"/>
        <v>386</v>
      </c>
      <c r="C392" s="188">
        <f t="shared" ref="C392:C455" si="117">G391</f>
        <v>-666863.02332736074</v>
      </c>
      <c r="D392" s="188">
        <f t="shared" si="112"/>
        <v>-2778.5959305306696</v>
      </c>
      <c r="E392" s="188">
        <f t="shared" si="101"/>
        <v>28143.41761785424</v>
      </c>
      <c r="F392" s="188">
        <f t="shared" si="113"/>
        <v>25364.821687323572</v>
      </c>
      <c r="G392" s="188">
        <f t="shared" si="114"/>
        <v>-695006.44094521494</v>
      </c>
      <c r="H392" s="188">
        <f>G402*J$2/12</f>
        <v>0</v>
      </c>
      <c r="I392" s="188">
        <f t="shared" si="115"/>
        <v>0</v>
      </c>
      <c r="J392" s="188">
        <f t="shared" si="116"/>
        <v>0</v>
      </c>
      <c r="K392" s="188">
        <f t="shared" ref="K392:K455" si="118">SUM(I392:J392)</f>
        <v>0</v>
      </c>
      <c r="L392" s="188">
        <f t="shared" ref="L392:L455" si="119">F392+H392+K392</f>
        <v>25364.821687323572</v>
      </c>
    </row>
    <row r="393" spans="1:12">
      <c r="A393" s="114">
        <v>33</v>
      </c>
      <c r="B393" s="182">
        <f t="shared" ref="B393:B456" si="120">B392+1</f>
        <v>387</v>
      </c>
      <c r="C393" s="188">
        <f t="shared" si="117"/>
        <v>-695006.44094521494</v>
      </c>
      <c r="D393" s="188">
        <f t="shared" si="112"/>
        <v>-2895.8601706050626</v>
      </c>
      <c r="E393" s="188">
        <f t="shared" ref="E393:E456" si="121">(F393-D393)</f>
        <v>28260.681857928634</v>
      </c>
      <c r="F393" s="188">
        <f t="shared" si="113"/>
        <v>25364.821687323572</v>
      </c>
      <c r="G393" s="188">
        <f t="shared" si="114"/>
        <v>-723267.12280314357</v>
      </c>
      <c r="H393" s="188">
        <f>G402*J$2/12</f>
        <v>0</v>
      </c>
      <c r="I393" s="188">
        <f t="shared" si="115"/>
        <v>0</v>
      </c>
      <c r="J393" s="188">
        <f t="shared" si="116"/>
        <v>0</v>
      </c>
      <c r="K393" s="188">
        <f t="shared" si="118"/>
        <v>0</v>
      </c>
      <c r="L393" s="188">
        <f t="shared" si="119"/>
        <v>25364.821687323572</v>
      </c>
    </row>
    <row r="394" spans="1:12">
      <c r="A394" s="114">
        <v>33</v>
      </c>
      <c r="B394" s="182">
        <f t="shared" si="120"/>
        <v>388</v>
      </c>
      <c r="C394" s="188">
        <f t="shared" si="117"/>
        <v>-723267.12280314357</v>
      </c>
      <c r="D394" s="188">
        <f t="shared" si="112"/>
        <v>-3013.6130116797649</v>
      </c>
      <c r="E394" s="188">
        <f t="shared" si="121"/>
        <v>28378.434699003337</v>
      </c>
      <c r="F394" s="188">
        <f t="shared" si="113"/>
        <v>25364.821687323572</v>
      </c>
      <c r="G394" s="188">
        <f t="shared" si="114"/>
        <v>-751645.55750214693</v>
      </c>
      <c r="H394" s="188">
        <f>G402*J$2/12</f>
        <v>0</v>
      </c>
      <c r="I394" s="188">
        <f t="shared" si="115"/>
        <v>0</v>
      </c>
      <c r="J394" s="188">
        <f t="shared" si="116"/>
        <v>0</v>
      </c>
      <c r="K394" s="188">
        <f t="shared" si="118"/>
        <v>0</v>
      </c>
      <c r="L394" s="188">
        <f t="shared" si="119"/>
        <v>25364.821687323572</v>
      </c>
    </row>
    <row r="395" spans="1:12">
      <c r="A395" s="114">
        <v>33</v>
      </c>
      <c r="B395" s="182">
        <f t="shared" si="120"/>
        <v>389</v>
      </c>
      <c r="C395" s="188">
        <f t="shared" si="117"/>
        <v>-751645.55750214693</v>
      </c>
      <c r="D395" s="188">
        <f t="shared" si="112"/>
        <v>-3131.8564895922791</v>
      </c>
      <c r="E395" s="188">
        <f t="shared" si="121"/>
        <v>28496.678176915852</v>
      </c>
      <c r="F395" s="188">
        <f t="shared" si="113"/>
        <v>25364.821687323572</v>
      </c>
      <c r="G395" s="188">
        <f t="shared" si="114"/>
        <v>-780142.23567906278</v>
      </c>
      <c r="H395" s="188">
        <f>G402*J$2/12</f>
        <v>0</v>
      </c>
      <c r="I395" s="188">
        <f t="shared" si="115"/>
        <v>0</v>
      </c>
      <c r="J395" s="188">
        <f t="shared" si="116"/>
        <v>0</v>
      </c>
      <c r="K395" s="188">
        <f t="shared" si="118"/>
        <v>0</v>
      </c>
      <c r="L395" s="188">
        <f t="shared" si="119"/>
        <v>25364.821687323572</v>
      </c>
    </row>
    <row r="396" spans="1:12">
      <c r="A396" s="114">
        <v>33</v>
      </c>
      <c r="B396" s="182">
        <f t="shared" si="120"/>
        <v>390</v>
      </c>
      <c r="C396" s="188">
        <f t="shared" si="117"/>
        <v>-780142.23567906278</v>
      </c>
      <c r="D396" s="188">
        <f t="shared" si="112"/>
        <v>-3250.5926486627618</v>
      </c>
      <c r="E396" s="188">
        <f t="shared" si="121"/>
        <v>28615.414335986334</v>
      </c>
      <c r="F396" s="188">
        <f t="shared" si="113"/>
        <v>25364.821687323572</v>
      </c>
      <c r="G396" s="188">
        <f t="shared" si="114"/>
        <v>-808757.65001504915</v>
      </c>
      <c r="H396" s="188">
        <f>G402*J$2/12</f>
        <v>0</v>
      </c>
      <c r="I396" s="188">
        <f t="shared" si="115"/>
        <v>0</v>
      </c>
      <c r="J396" s="188">
        <f t="shared" si="116"/>
        <v>0</v>
      </c>
      <c r="K396" s="188">
        <f t="shared" si="118"/>
        <v>0</v>
      </c>
      <c r="L396" s="188">
        <f t="shared" si="119"/>
        <v>25364.821687323572</v>
      </c>
    </row>
    <row r="397" spans="1:12">
      <c r="A397" s="114">
        <v>33</v>
      </c>
      <c r="B397" s="182">
        <f t="shared" si="120"/>
        <v>391</v>
      </c>
      <c r="C397" s="188">
        <f t="shared" si="117"/>
        <v>-808757.65001504915</v>
      </c>
      <c r="D397" s="188">
        <f t="shared" si="112"/>
        <v>-3369.8235417293713</v>
      </c>
      <c r="E397" s="188">
        <f t="shared" si="121"/>
        <v>28734.645229052945</v>
      </c>
      <c r="F397" s="188">
        <f t="shared" si="113"/>
        <v>25364.821687323572</v>
      </c>
      <c r="G397" s="188">
        <f t="shared" si="114"/>
        <v>-837492.29524410213</v>
      </c>
      <c r="H397" s="188">
        <f>G402*J$2/12</f>
        <v>0</v>
      </c>
      <c r="I397" s="188">
        <f t="shared" si="115"/>
        <v>0</v>
      </c>
      <c r="J397" s="188">
        <f t="shared" si="116"/>
        <v>0</v>
      </c>
      <c r="K397" s="188">
        <f t="shared" si="118"/>
        <v>0</v>
      </c>
      <c r="L397" s="188">
        <f t="shared" si="119"/>
        <v>25364.821687323572</v>
      </c>
    </row>
    <row r="398" spans="1:12">
      <c r="A398" s="114">
        <v>33</v>
      </c>
      <c r="B398" s="182">
        <f t="shared" si="120"/>
        <v>392</v>
      </c>
      <c r="C398" s="188">
        <f t="shared" si="117"/>
        <v>-837492.29524410213</v>
      </c>
      <c r="D398" s="188">
        <f t="shared" si="112"/>
        <v>-3489.5512301837589</v>
      </c>
      <c r="E398" s="188">
        <f t="shared" si="121"/>
        <v>28854.372917507331</v>
      </c>
      <c r="F398" s="188">
        <f t="shared" si="113"/>
        <v>25364.821687323572</v>
      </c>
      <c r="G398" s="188">
        <f t="shared" si="114"/>
        <v>-866346.66816160944</v>
      </c>
      <c r="H398" s="188">
        <f>G402*J$2/12</f>
        <v>0</v>
      </c>
      <c r="I398" s="188">
        <f t="shared" si="115"/>
        <v>0</v>
      </c>
      <c r="J398" s="188">
        <f t="shared" si="116"/>
        <v>0</v>
      </c>
      <c r="K398" s="188">
        <f t="shared" si="118"/>
        <v>0</v>
      </c>
      <c r="L398" s="188">
        <f t="shared" si="119"/>
        <v>25364.821687323572</v>
      </c>
    </row>
    <row r="399" spans="1:12">
      <c r="A399" s="114">
        <v>33</v>
      </c>
      <c r="B399" s="182">
        <f t="shared" si="120"/>
        <v>393</v>
      </c>
      <c r="C399" s="188">
        <f t="shared" si="117"/>
        <v>-866346.66816160944</v>
      </c>
      <c r="D399" s="188">
        <f t="shared" si="112"/>
        <v>-3609.7777840067065</v>
      </c>
      <c r="E399" s="188">
        <f t="shared" si="121"/>
        <v>28974.599471330279</v>
      </c>
      <c r="F399" s="188">
        <f t="shared" si="113"/>
        <v>25364.821687323572</v>
      </c>
      <c r="G399" s="188">
        <f t="shared" si="114"/>
        <v>-895321.26763293974</v>
      </c>
      <c r="H399" s="188">
        <f>G402*J$2/12</f>
        <v>0</v>
      </c>
      <c r="I399" s="188">
        <f t="shared" si="115"/>
        <v>0</v>
      </c>
      <c r="J399" s="188">
        <f t="shared" si="116"/>
        <v>0</v>
      </c>
      <c r="K399" s="188">
        <f t="shared" si="118"/>
        <v>0</v>
      </c>
      <c r="L399" s="188">
        <f t="shared" si="119"/>
        <v>25364.821687323572</v>
      </c>
    </row>
    <row r="400" spans="1:12">
      <c r="A400" s="114">
        <v>33</v>
      </c>
      <c r="B400" s="182">
        <f t="shared" si="120"/>
        <v>394</v>
      </c>
      <c r="C400" s="188">
        <f t="shared" si="117"/>
        <v>-895321.26763293974</v>
      </c>
      <c r="D400" s="188">
        <f t="shared" si="112"/>
        <v>-3730.5052818039162</v>
      </c>
      <c r="E400" s="188">
        <f t="shared" si="121"/>
        <v>29095.326969127487</v>
      </c>
      <c r="F400" s="188">
        <f t="shared" si="113"/>
        <v>25364.821687323572</v>
      </c>
      <c r="G400" s="188">
        <f t="shared" si="114"/>
        <v>-924416.59460206726</v>
      </c>
      <c r="H400" s="188">
        <f>G402*J$2/12</f>
        <v>0</v>
      </c>
      <c r="I400" s="188">
        <f t="shared" si="115"/>
        <v>0</v>
      </c>
      <c r="J400" s="188">
        <f t="shared" si="116"/>
        <v>0</v>
      </c>
      <c r="K400" s="188">
        <f t="shared" si="118"/>
        <v>0</v>
      </c>
      <c r="L400" s="188">
        <f t="shared" si="119"/>
        <v>25364.821687323572</v>
      </c>
    </row>
    <row r="401" spans="1:12">
      <c r="A401" s="114">
        <v>33</v>
      </c>
      <c r="B401" s="182">
        <f t="shared" si="120"/>
        <v>395</v>
      </c>
      <c r="C401" s="188">
        <f t="shared" si="117"/>
        <v>-924416.59460206726</v>
      </c>
      <c r="D401" s="188">
        <f t="shared" si="112"/>
        <v>-3851.7358108419471</v>
      </c>
      <c r="E401" s="188">
        <f t="shared" si="121"/>
        <v>29216.557498165519</v>
      </c>
      <c r="F401" s="188">
        <f t="shared" si="113"/>
        <v>25364.821687323572</v>
      </c>
      <c r="G401" s="188">
        <f t="shared" si="114"/>
        <v>-953633.15210023278</v>
      </c>
      <c r="H401" s="188">
        <f>G402*J$2/12</f>
        <v>0</v>
      </c>
      <c r="I401" s="188">
        <f t="shared" si="115"/>
        <v>0</v>
      </c>
      <c r="J401" s="188">
        <f t="shared" si="116"/>
        <v>0</v>
      </c>
      <c r="K401" s="188">
        <f t="shared" si="118"/>
        <v>0</v>
      </c>
      <c r="L401" s="188">
        <f t="shared" si="119"/>
        <v>25364.821687323572</v>
      </c>
    </row>
    <row r="402" spans="1:12">
      <c r="A402" s="238">
        <v>33</v>
      </c>
      <c r="B402" s="239">
        <f t="shared" si="120"/>
        <v>396</v>
      </c>
      <c r="C402" s="240">
        <f t="shared" si="117"/>
        <v>-953633.15210023278</v>
      </c>
      <c r="D402" s="240">
        <f t="shared" si="112"/>
        <v>-3973.4714670843036</v>
      </c>
      <c r="E402" s="240">
        <f t="shared" si="121"/>
        <v>29338.293154407875</v>
      </c>
      <c r="F402" s="240">
        <f t="shared" si="113"/>
        <v>25364.821687323572</v>
      </c>
      <c r="G402" s="240">
        <f t="shared" si="114"/>
        <v>-982971.44525464065</v>
      </c>
      <c r="H402" s="240">
        <f>G402*J$2/12</f>
        <v>0</v>
      </c>
      <c r="I402" s="240">
        <f t="shared" si="115"/>
        <v>0</v>
      </c>
      <c r="J402" s="240">
        <f t="shared" si="116"/>
        <v>0</v>
      </c>
      <c r="K402" s="240">
        <f t="shared" si="118"/>
        <v>0</v>
      </c>
      <c r="L402" s="240">
        <f t="shared" si="119"/>
        <v>25364.821687323572</v>
      </c>
    </row>
    <row r="403" spans="1:12">
      <c r="A403" s="114">
        <v>34</v>
      </c>
      <c r="B403" s="182">
        <f t="shared" si="120"/>
        <v>397</v>
      </c>
      <c r="C403" s="188">
        <f t="shared" si="117"/>
        <v>-982971.44525464065</v>
      </c>
      <c r="D403" s="188">
        <f t="shared" si="112"/>
        <v>-4095.7143552276698</v>
      </c>
      <c r="E403" s="188">
        <f t="shared" si="121"/>
        <v>29460.536042551241</v>
      </c>
      <c r="F403" s="188">
        <f t="shared" si="113"/>
        <v>25364.821687323572</v>
      </c>
      <c r="G403" s="188">
        <f t="shared" si="114"/>
        <v>-1012431.9812971919</v>
      </c>
      <c r="H403" s="188">
        <f>G414*J$2/12</f>
        <v>0</v>
      </c>
      <c r="I403" s="188">
        <f t="shared" ref="I403:I414" si="122">(($C$403*$I$4)/12)</f>
        <v>0</v>
      </c>
      <c r="J403" s="188">
        <f t="shared" ref="J403:J414" si="123">(($C$403*$J$4)/12)</f>
        <v>0</v>
      </c>
      <c r="K403" s="188">
        <f t="shared" si="118"/>
        <v>0</v>
      </c>
      <c r="L403" s="188">
        <f t="shared" si="119"/>
        <v>25364.821687323572</v>
      </c>
    </row>
    <row r="404" spans="1:12">
      <c r="A404" s="114">
        <v>34</v>
      </c>
      <c r="B404" s="182">
        <f t="shared" si="120"/>
        <v>398</v>
      </c>
      <c r="C404" s="188">
        <f t="shared" si="117"/>
        <v>-1012431.9812971919</v>
      </c>
      <c r="D404" s="188">
        <f t="shared" si="112"/>
        <v>-4218.4665887382998</v>
      </c>
      <c r="E404" s="188">
        <f t="shared" si="121"/>
        <v>29583.288276061874</v>
      </c>
      <c r="F404" s="188">
        <f t="shared" si="113"/>
        <v>25364.821687323572</v>
      </c>
      <c r="G404" s="188">
        <f t="shared" si="114"/>
        <v>-1042015.2695732538</v>
      </c>
      <c r="H404" s="188">
        <f>G414*J$2/12</f>
        <v>0</v>
      </c>
      <c r="I404" s="188">
        <f t="shared" si="122"/>
        <v>0</v>
      </c>
      <c r="J404" s="188">
        <f t="shared" si="123"/>
        <v>0</v>
      </c>
      <c r="K404" s="188">
        <f t="shared" si="118"/>
        <v>0</v>
      </c>
      <c r="L404" s="188">
        <f t="shared" si="119"/>
        <v>25364.821687323572</v>
      </c>
    </row>
    <row r="405" spans="1:12">
      <c r="A405" s="114">
        <v>34</v>
      </c>
      <c r="B405" s="182">
        <f t="shared" si="120"/>
        <v>399</v>
      </c>
      <c r="C405" s="188">
        <f t="shared" si="117"/>
        <v>-1042015.2695732538</v>
      </c>
      <c r="D405" s="188">
        <f t="shared" si="112"/>
        <v>-4341.7302898885582</v>
      </c>
      <c r="E405" s="188">
        <f t="shared" si="121"/>
        <v>29706.55197721213</v>
      </c>
      <c r="F405" s="188">
        <f t="shared" si="113"/>
        <v>25364.821687323572</v>
      </c>
      <c r="G405" s="188">
        <f t="shared" si="114"/>
        <v>-1071721.8215504659</v>
      </c>
      <c r="H405" s="188">
        <f>G414*J$2/12</f>
        <v>0</v>
      </c>
      <c r="I405" s="188">
        <f t="shared" si="122"/>
        <v>0</v>
      </c>
      <c r="J405" s="188">
        <f t="shared" si="123"/>
        <v>0</v>
      </c>
      <c r="K405" s="188">
        <f t="shared" si="118"/>
        <v>0</v>
      </c>
      <c r="L405" s="188">
        <f t="shared" si="119"/>
        <v>25364.821687323572</v>
      </c>
    </row>
    <row r="406" spans="1:12">
      <c r="A406" s="114">
        <v>34</v>
      </c>
      <c r="B406" s="182">
        <f t="shared" si="120"/>
        <v>400</v>
      </c>
      <c r="C406" s="188">
        <f t="shared" si="117"/>
        <v>-1071721.8215504659</v>
      </c>
      <c r="D406" s="188">
        <f t="shared" si="112"/>
        <v>-4465.5075897936085</v>
      </c>
      <c r="E406" s="188">
        <f t="shared" si="121"/>
        <v>29830.32927711718</v>
      </c>
      <c r="F406" s="188">
        <f t="shared" si="113"/>
        <v>25364.821687323572</v>
      </c>
      <c r="G406" s="188">
        <f t="shared" si="114"/>
        <v>-1101552.1508275832</v>
      </c>
      <c r="H406" s="188">
        <f>G414*J$2/12</f>
        <v>0</v>
      </c>
      <c r="I406" s="188">
        <f t="shared" si="122"/>
        <v>0</v>
      </c>
      <c r="J406" s="188">
        <f t="shared" si="123"/>
        <v>0</v>
      </c>
      <c r="K406" s="188">
        <f t="shared" si="118"/>
        <v>0</v>
      </c>
      <c r="L406" s="188">
        <f t="shared" si="119"/>
        <v>25364.821687323572</v>
      </c>
    </row>
    <row r="407" spans="1:12">
      <c r="A407" s="114">
        <v>34</v>
      </c>
      <c r="B407" s="182">
        <f t="shared" si="120"/>
        <v>401</v>
      </c>
      <c r="C407" s="188">
        <f t="shared" si="117"/>
        <v>-1101552.1508275832</v>
      </c>
      <c r="D407" s="188">
        <f t="shared" si="112"/>
        <v>-4589.8006284482635</v>
      </c>
      <c r="E407" s="188">
        <f t="shared" si="121"/>
        <v>29954.622315771834</v>
      </c>
      <c r="F407" s="188">
        <f t="shared" si="113"/>
        <v>25364.821687323572</v>
      </c>
      <c r="G407" s="188">
        <f t="shared" si="114"/>
        <v>-1131506.773143355</v>
      </c>
      <c r="H407" s="188">
        <f>G414*J$2/12</f>
        <v>0</v>
      </c>
      <c r="I407" s="188">
        <f t="shared" si="122"/>
        <v>0</v>
      </c>
      <c r="J407" s="188">
        <f t="shared" si="123"/>
        <v>0</v>
      </c>
      <c r="K407" s="188">
        <f t="shared" si="118"/>
        <v>0</v>
      </c>
      <c r="L407" s="188">
        <f t="shared" si="119"/>
        <v>25364.821687323572</v>
      </c>
    </row>
    <row r="408" spans="1:12">
      <c r="A408" s="114">
        <v>34</v>
      </c>
      <c r="B408" s="182">
        <f t="shared" si="120"/>
        <v>402</v>
      </c>
      <c r="C408" s="188">
        <f t="shared" si="117"/>
        <v>-1131506.773143355</v>
      </c>
      <c r="D408" s="188">
        <f t="shared" si="112"/>
        <v>-4714.6115547639793</v>
      </c>
      <c r="E408" s="188">
        <f t="shared" si="121"/>
        <v>30079.433242087551</v>
      </c>
      <c r="F408" s="188">
        <f t="shared" si="113"/>
        <v>25364.821687323572</v>
      </c>
      <c r="G408" s="188">
        <f t="shared" si="114"/>
        <v>-1161586.2063854425</v>
      </c>
      <c r="H408" s="188">
        <f>G414*J$2/12</f>
        <v>0</v>
      </c>
      <c r="I408" s="188">
        <f t="shared" si="122"/>
        <v>0</v>
      </c>
      <c r="J408" s="188">
        <f t="shared" si="123"/>
        <v>0</v>
      </c>
      <c r="K408" s="188">
        <f t="shared" si="118"/>
        <v>0</v>
      </c>
      <c r="L408" s="188">
        <f t="shared" si="119"/>
        <v>25364.821687323572</v>
      </c>
    </row>
    <row r="409" spans="1:12">
      <c r="A409" s="114">
        <v>34</v>
      </c>
      <c r="B409" s="182">
        <f t="shared" si="120"/>
        <v>403</v>
      </c>
      <c r="C409" s="188">
        <f t="shared" si="117"/>
        <v>-1161586.2063854425</v>
      </c>
      <c r="D409" s="188">
        <f t="shared" si="112"/>
        <v>-4839.9425266060107</v>
      </c>
      <c r="E409" s="188">
        <f t="shared" si="121"/>
        <v>30204.764213929582</v>
      </c>
      <c r="F409" s="188">
        <f t="shared" si="113"/>
        <v>25364.821687323572</v>
      </c>
      <c r="G409" s="188">
        <f t="shared" si="114"/>
        <v>-1191790.9705993722</v>
      </c>
      <c r="H409" s="188">
        <f>G414*J$2/12</f>
        <v>0</v>
      </c>
      <c r="I409" s="188">
        <f t="shared" si="122"/>
        <v>0</v>
      </c>
      <c r="J409" s="188">
        <f t="shared" si="123"/>
        <v>0</v>
      </c>
      <c r="K409" s="188">
        <f t="shared" si="118"/>
        <v>0</v>
      </c>
      <c r="L409" s="188">
        <f t="shared" si="119"/>
        <v>25364.821687323572</v>
      </c>
    </row>
    <row r="410" spans="1:12">
      <c r="A410" s="114">
        <v>34</v>
      </c>
      <c r="B410" s="182">
        <f t="shared" si="120"/>
        <v>404</v>
      </c>
      <c r="C410" s="188">
        <f t="shared" si="117"/>
        <v>-1191790.9705993722</v>
      </c>
      <c r="D410" s="188">
        <f t="shared" si="112"/>
        <v>-4965.7957108307173</v>
      </c>
      <c r="E410" s="188">
        <f t="shared" si="121"/>
        <v>30330.617398154289</v>
      </c>
      <c r="F410" s="188">
        <f t="shared" si="113"/>
        <v>25364.821687323572</v>
      </c>
      <c r="G410" s="188">
        <f t="shared" si="114"/>
        <v>-1222121.5879975264</v>
      </c>
      <c r="H410" s="188">
        <f>G414*J$2/12</f>
        <v>0</v>
      </c>
      <c r="I410" s="188">
        <f t="shared" si="122"/>
        <v>0</v>
      </c>
      <c r="J410" s="188">
        <f t="shared" si="123"/>
        <v>0</v>
      </c>
      <c r="K410" s="188">
        <f t="shared" si="118"/>
        <v>0</v>
      </c>
      <c r="L410" s="188">
        <f t="shared" si="119"/>
        <v>25364.821687323572</v>
      </c>
    </row>
    <row r="411" spans="1:12">
      <c r="A411" s="114">
        <v>34</v>
      </c>
      <c r="B411" s="182">
        <f t="shared" si="120"/>
        <v>405</v>
      </c>
      <c r="C411" s="188">
        <f t="shared" si="117"/>
        <v>-1222121.5879975264</v>
      </c>
      <c r="D411" s="188">
        <f t="shared" si="112"/>
        <v>-5092.1732833230271</v>
      </c>
      <c r="E411" s="188">
        <f t="shared" si="121"/>
        <v>30456.9949706466</v>
      </c>
      <c r="F411" s="188">
        <f t="shared" si="113"/>
        <v>25364.821687323572</v>
      </c>
      <c r="G411" s="188">
        <f t="shared" si="114"/>
        <v>-1252578.5829681731</v>
      </c>
      <c r="H411" s="188">
        <f>G414*J$2/12</f>
        <v>0</v>
      </c>
      <c r="I411" s="188">
        <f t="shared" si="122"/>
        <v>0</v>
      </c>
      <c r="J411" s="188">
        <f t="shared" si="123"/>
        <v>0</v>
      </c>
      <c r="K411" s="188">
        <f t="shared" si="118"/>
        <v>0</v>
      </c>
      <c r="L411" s="188">
        <f t="shared" si="119"/>
        <v>25364.821687323572</v>
      </c>
    </row>
    <row r="412" spans="1:12">
      <c r="A412" s="114">
        <v>34</v>
      </c>
      <c r="B412" s="182">
        <f t="shared" si="120"/>
        <v>406</v>
      </c>
      <c r="C412" s="188">
        <f t="shared" si="117"/>
        <v>-1252578.5829681731</v>
      </c>
      <c r="D412" s="188">
        <f t="shared" si="112"/>
        <v>-5219.0774290340551</v>
      </c>
      <c r="E412" s="188">
        <f t="shared" si="121"/>
        <v>30583.899116357628</v>
      </c>
      <c r="F412" s="188">
        <f t="shared" si="113"/>
        <v>25364.821687323572</v>
      </c>
      <c r="G412" s="188">
        <f t="shared" si="114"/>
        <v>-1283162.4820845306</v>
      </c>
      <c r="H412" s="188">
        <f>G414*J$2/12</f>
        <v>0</v>
      </c>
      <c r="I412" s="188">
        <f t="shared" si="122"/>
        <v>0</v>
      </c>
      <c r="J412" s="188">
        <f t="shared" si="123"/>
        <v>0</v>
      </c>
      <c r="K412" s="188">
        <f t="shared" si="118"/>
        <v>0</v>
      </c>
      <c r="L412" s="188">
        <f t="shared" si="119"/>
        <v>25364.821687323572</v>
      </c>
    </row>
    <row r="413" spans="1:12">
      <c r="A413" s="114">
        <v>34</v>
      </c>
      <c r="B413" s="182">
        <f t="shared" si="120"/>
        <v>407</v>
      </c>
      <c r="C413" s="188">
        <f t="shared" si="117"/>
        <v>-1283162.4820845306</v>
      </c>
      <c r="D413" s="188">
        <f t="shared" si="112"/>
        <v>-5346.510342018878</v>
      </c>
      <c r="E413" s="188">
        <f t="shared" si="121"/>
        <v>30711.332029342451</v>
      </c>
      <c r="F413" s="188">
        <f t="shared" si="113"/>
        <v>25364.821687323572</v>
      </c>
      <c r="G413" s="188">
        <f t="shared" si="114"/>
        <v>-1313873.8141138731</v>
      </c>
      <c r="H413" s="188">
        <f>G414*J$2/12</f>
        <v>0</v>
      </c>
      <c r="I413" s="188">
        <f t="shared" si="122"/>
        <v>0</v>
      </c>
      <c r="J413" s="188">
        <f t="shared" si="123"/>
        <v>0</v>
      </c>
      <c r="K413" s="188">
        <f t="shared" si="118"/>
        <v>0</v>
      </c>
      <c r="L413" s="188">
        <f t="shared" si="119"/>
        <v>25364.821687323572</v>
      </c>
    </row>
    <row r="414" spans="1:12">
      <c r="A414" s="238">
        <v>34</v>
      </c>
      <c r="B414" s="239">
        <f t="shared" si="120"/>
        <v>408</v>
      </c>
      <c r="C414" s="240">
        <f t="shared" si="117"/>
        <v>-1313873.8141138731</v>
      </c>
      <c r="D414" s="240">
        <f t="shared" si="112"/>
        <v>-5474.4742254744715</v>
      </c>
      <c r="E414" s="240">
        <f t="shared" si="121"/>
        <v>30839.295912798043</v>
      </c>
      <c r="F414" s="240">
        <f t="shared" si="113"/>
        <v>25364.821687323572</v>
      </c>
      <c r="G414" s="240">
        <f t="shared" si="114"/>
        <v>-1344713.1100266711</v>
      </c>
      <c r="H414" s="240">
        <f>G414*J$2/12</f>
        <v>0</v>
      </c>
      <c r="I414" s="240">
        <f t="shared" si="122"/>
        <v>0</v>
      </c>
      <c r="J414" s="240">
        <f t="shared" si="123"/>
        <v>0</v>
      </c>
      <c r="K414" s="240">
        <f t="shared" si="118"/>
        <v>0</v>
      </c>
      <c r="L414" s="240">
        <f t="shared" si="119"/>
        <v>25364.821687323572</v>
      </c>
    </row>
    <row r="415" spans="1:12">
      <c r="A415" s="114">
        <v>35</v>
      </c>
      <c r="B415" s="182">
        <f t="shared" si="120"/>
        <v>409</v>
      </c>
      <c r="C415" s="188">
        <f t="shared" si="117"/>
        <v>-1344713.1100266711</v>
      </c>
      <c r="D415" s="188">
        <f t="shared" si="112"/>
        <v>-5602.971291777797</v>
      </c>
      <c r="E415" s="188">
        <f t="shared" si="121"/>
        <v>30967.79297910137</v>
      </c>
      <c r="F415" s="188">
        <f t="shared" si="113"/>
        <v>25364.821687323572</v>
      </c>
      <c r="G415" s="188">
        <f t="shared" si="114"/>
        <v>-1375680.9030057725</v>
      </c>
      <c r="H415" s="188">
        <f>G426*J$2/12</f>
        <v>0</v>
      </c>
      <c r="I415" s="188">
        <f t="shared" ref="I415:I478" si="124">(($C$415*$I$4)/12)</f>
        <v>0</v>
      </c>
      <c r="J415" s="188">
        <f t="shared" ref="J415:J478" si="125">(($C$415*$J$4)/12)</f>
        <v>0</v>
      </c>
      <c r="K415" s="188">
        <f t="shared" si="118"/>
        <v>0</v>
      </c>
      <c r="L415" s="188">
        <f t="shared" si="119"/>
        <v>25364.821687323572</v>
      </c>
    </row>
    <row r="416" spans="1:12">
      <c r="A416" s="114">
        <v>35</v>
      </c>
      <c r="B416" s="182">
        <f t="shared" si="120"/>
        <v>410</v>
      </c>
      <c r="C416" s="188">
        <f t="shared" si="117"/>
        <v>-1375680.9030057725</v>
      </c>
      <c r="D416" s="188">
        <f t="shared" si="112"/>
        <v>-5732.003762524052</v>
      </c>
      <c r="E416" s="188">
        <f t="shared" si="121"/>
        <v>31096.825449847624</v>
      </c>
      <c r="F416" s="188">
        <f t="shared" si="113"/>
        <v>25364.821687323572</v>
      </c>
      <c r="G416" s="188">
        <f t="shared" si="114"/>
        <v>-1406777.7284556201</v>
      </c>
      <c r="H416" s="188">
        <f>G426*J$2/12</f>
        <v>0</v>
      </c>
      <c r="I416" s="188">
        <f t="shared" si="124"/>
        <v>0</v>
      </c>
      <c r="J416" s="188">
        <f t="shared" si="125"/>
        <v>0</v>
      </c>
      <c r="K416" s="188">
        <f t="shared" si="118"/>
        <v>0</v>
      </c>
      <c r="L416" s="188">
        <f t="shared" si="119"/>
        <v>25364.821687323572</v>
      </c>
    </row>
    <row r="417" spans="1:12">
      <c r="A417" s="114">
        <v>35</v>
      </c>
      <c r="B417" s="182">
        <f t="shared" si="120"/>
        <v>411</v>
      </c>
      <c r="C417" s="188">
        <f t="shared" si="117"/>
        <v>-1406777.7284556201</v>
      </c>
      <c r="D417" s="188">
        <f t="shared" si="112"/>
        <v>-5861.573868565084</v>
      </c>
      <c r="E417" s="188">
        <f t="shared" si="121"/>
        <v>31226.395555888656</v>
      </c>
      <c r="F417" s="188">
        <f t="shared" si="113"/>
        <v>25364.821687323572</v>
      </c>
      <c r="G417" s="188">
        <f t="shared" si="114"/>
        <v>-1438004.1240115089</v>
      </c>
      <c r="H417" s="188">
        <f>G426*J$2/12</f>
        <v>0</v>
      </c>
      <c r="I417" s="188">
        <f t="shared" si="124"/>
        <v>0</v>
      </c>
      <c r="J417" s="188">
        <f t="shared" si="125"/>
        <v>0</v>
      </c>
      <c r="K417" s="188">
        <f t="shared" si="118"/>
        <v>0</v>
      </c>
      <c r="L417" s="188">
        <f t="shared" si="119"/>
        <v>25364.821687323572</v>
      </c>
    </row>
    <row r="418" spans="1:12">
      <c r="A418" s="114">
        <v>35</v>
      </c>
      <c r="B418" s="182">
        <f t="shared" si="120"/>
        <v>412</v>
      </c>
      <c r="C418" s="188">
        <f t="shared" si="117"/>
        <v>-1438004.1240115089</v>
      </c>
      <c r="D418" s="188">
        <f t="shared" si="112"/>
        <v>-5991.6838500479535</v>
      </c>
      <c r="E418" s="188">
        <f t="shared" si="121"/>
        <v>31356.505537371526</v>
      </c>
      <c r="F418" s="188">
        <f t="shared" si="113"/>
        <v>25364.821687323572</v>
      </c>
      <c r="G418" s="188">
        <f t="shared" si="114"/>
        <v>-1469360.6295488805</v>
      </c>
      <c r="H418" s="188">
        <f>G426*J$2/12</f>
        <v>0</v>
      </c>
      <c r="I418" s="188">
        <f t="shared" si="124"/>
        <v>0</v>
      </c>
      <c r="J418" s="188">
        <f t="shared" si="125"/>
        <v>0</v>
      </c>
      <c r="K418" s="188">
        <f t="shared" si="118"/>
        <v>0</v>
      </c>
      <c r="L418" s="188">
        <f t="shared" si="119"/>
        <v>25364.821687323572</v>
      </c>
    </row>
    <row r="419" spans="1:12">
      <c r="A419" s="114">
        <v>35</v>
      </c>
      <c r="B419" s="182">
        <f t="shared" si="120"/>
        <v>413</v>
      </c>
      <c r="C419" s="188">
        <f t="shared" si="117"/>
        <v>-1469360.6295488805</v>
      </c>
      <c r="D419" s="188">
        <f t="shared" si="112"/>
        <v>-6122.3359564536695</v>
      </c>
      <c r="E419" s="188">
        <f t="shared" si="121"/>
        <v>31487.157643777242</v>
      </c>
      <c r="F419" s="188">
        <f t="shared" si="113"/>
        <v>25364.821687323572</v>
      </c>
      <c r="G419" s="188">
        <f t="shared" si="114"/>
        <v>-1500847.7871926578</v>
      </c>
      <c r="H419" s="188">
        <f>G426*J$2/12</f>
        <v>0</v>
      </c>
      <c r="I419" s="188">
        <f t="shared" si="124"/>
        <v>0</v>
      </c>
      <c r="J419" s="188">
        <f t="shared" si="125"/>
        <v>0</v>
      </c>
      <c r="K419" s="188">
        <f t="shared" si="118"/>
        <v>0</v>
      </c>
      <c r="L419" s="188">
        <f t="shared" si="119"/>
        <v>25364.821687323572</v>
      </c>
    </row>
    <row r="420" spans="1:12">
      <c r="A420" s="114">
        <v>35</v>
      </c>
      <c r="B420" s="182">
        <f t="shared" si="120"/>
        <v>414</v>
      </c>
      <c r="C420" s="188">
        <f t="shared" si="117"/>
        <v>-1500847.7871926578</v>
      </c>
      <c r="D420" s="188">
        <f t="shared" si="112"/>
        <v>-6253.5324466360753</v>
      </c>
      <c r="E420" s="188">
        <f t="shared" si="121"/>
        <v>31618.354133959649</v>
      </c>
      <c r="F420" s="188">
        <f t="shared" si="113"/>
        <v>25364.821687323572</v>
      </c>
      <c r="G420" s="188">
        <f t="shared" si="114"/>
        <v>-1532466.1413266174</v>
      </c>
      <c r="H420" s="188">
        <f>G426*J$2/12</f>
        <v>0</v>
      </c>
      <c r="I420" s="188">
        <f t="shared" si="124"/>
        <v>0</v>
      </c>
      <c r="J420" s="188">
        <f t="shared" si="125"/>
        <v>0</v>
      </c>
      <c r="K420" s="188">
        <f t="shared" si="118"/>
        <v>0</v>
      </c>
      <c r="L420" s="188">
        <f t="shared" si="119"/>
        <v>25364.821687323572</v>
      </c>
    </row>
    <row r="421" spans="1:12">
      <c r="A421" s="114">
        <v>35</v>
      </c>
      <c r="B421" s="182">
        <f t="shared" si="120"/>
        <v>415</v>
      </c>
      <c r="C421" s="188">
        <f t="shared" si="117"/>
        <v>-1532466.1413266174</v>
      </c>
      <c r="D421" s="188">
        <f t="shared" si="112"/>
        <v>-6385.2755888609063</v>
      </c>
      <c r="E421" s="188">
        <f t="shared" si="121"/>
        <v>31750.097276184479</v>
      </c>
      <c r="F421" s="188">
        <f t="shared" si="113"/>
        <v>25364.821687323572</v>
      </c>
      <c r="G421" s="188">
        <f t="shared" si="114"/>
        <v>-1564216.2386028019</v>
      </c>
      <c r="H421" s="188">
        <f>G426*J$2/12</f>
        <v>0</v>
      </c>
      <c r="I421" s="188">
        <f t="shared" si="124"/>
        <v>0</v>
      </c>
      <c r="J421" s="188">
        <f t="shared" si="125"/>
        <v>0</v>
      </c>
      <c r="K421" s="188">
        <f t="shared" si="118"/>
        <v>0</v>
      </c>
      <c r="L421" s="188">
        <f t="shared" si="119"/>
        <v>25364.821687323572</v>
      </c>
    </row>
    <row r="422" spans="1:12">
      <c r="A422" s="114">
        <v>35</v>
      </c>
      <c r="B422" s="182">
        <f t="shared" si="120"/>
        <v>416</v>
      </c>
      <c r="C422" s="188">
        <f t="shared" si="117"/>
        <v>-1564216.2386028019</v>
      </c>
      <c r="D422" s="188">
        <f t="shared" si="112"/>
        <v>-6517.5676608450085</v>
      </c>
      <c r="E422" s="188">
        <f t="shared" si="121"/>
        <v>31882.389348168581</v>
      </c>
      <c r="F422" s="188">
        <f t="shared" si="113"/>
        <v>25364.821687323572</v>
      </c>
      <c r="G422" s="188">
        <f t="shared" si="114"/>
        <v>-1596098.6279509705</v>
      </c>
      <c r="H422" s="188">
        <f>G426*J$2/12</f>
        <v>0</v>
      </c>
      <c r="I422" s="188">
        <f t="shared" si="124"/>
        <v>0</v>
      </c>
      <c r="J422" s="188">
        <f t="shared" si="125"/>
        <v>0</v>
      </c>
      <c r="K422" s="188">
        <f t="shared" si="118"/>
        <v>0</v>
      </c>
      <c r="L422" s="188">
        <f t="shared" si="119"/>
        <v>25364.821687323572</v>
      </c>
    </row>
    <row r="423" spans="1:12">
      <c r="A423" s="114">
        <v>35</v>
      </c>
      <c r="B423" s="182">
        <f t="shared" si="120"/>
        <v>417</v>
      </c>
      <c r="C423" s="188">
        <f t="shared" si="117"/>
        <v>-1596098.6279509705</v>
      </c>
      <c r="D423" s="188">
        <f t="shared" si="112"/>
        <v>-6650.4109497957106</v>
      </c>
      <c r="E423" s="188">
        <f t="shared" si="121"/>
        <v>32015.232637119283</v>
      </c>
      <c r="F423" s="188">
        <f t="shared" si="113"/>
        <v>25364.821687323572</v>
      </c>
      <c r="G423" s="188">
        <f t="shared" si="114"/>
        <v>-1628113.8605880898</v>
      </c>
      <c r="H423" s="188">
        <f>G426*J$2/12</f>
        <v>0</v>
      </c>
      <c r="I423" s="188">
        <f t="shared" si="124"/>
        <v>0</v>
      </c>
      <c r="J423" s="188">
        <f t="shared" si="125"/>
        <v>0</v>
      </c>
      <c r="K423" s="188">
        <f t="shared" si="118"/>
        <v>0</v>
      </c>
      <c r="L423" s="188">
        <f t="shared" si="119"/>
        <v>25364.821687323572</v>
      </c>
    </row>
    <row r="424" spans="1:12">
      <c r="A424" s="114">
        <v>35</v>
      </c>
      <c r="B424" s="182">
        <f t="shared" si="120"/>
        <v>418</v>
      </c>
      <c r="C424" s="188">
        <f t="shared" si="117"/>
        <v>-1628113.8605880898</v>
      </c>
      <c r="D424" s="188">
        <f t="shared" si="112"/>
        <v>-6783.8077524503751</v>
      </c>
      <c r="E424" s="188">
        <f t="shared" si="121"/>
        <v>32148.629439773948</v>
      </c>
      <c r="F424" s="188">
        <f t="shared" si="113"/>
        <v>25364.821687323572</v>
      </c>
      <c r="G424" s="188">
        <f t="shared" si="114"/>
        <v>-1660262.4900278638</v>
      </c>
      <c r="H424" s="188">
        <f>G426*J$2/12</f>
        <v>0</v>
      </c>
      <c r="I424" s="188">
        <f t="shared" si="124"/>
        <v>0</v>
      </c>
      <c r="J424" s="188">
        <f t="shared" si="125"/>
        <v>0</v>
      </c>
      <c r="K424" s="188">
        <f t="shared" si="118"/>
        <v>0</v>
      </c>
      <c r="L424" s="188">
        <f t="shared" si="119"/>
        <v>25364.821687323572</v>
      </c>
    </row>
    <row r="425" spans="1:12">
      <c r="A425" s="114">
        <v>35</v>
      </c>
      <c r="B425" s="182">
        <f t="shared" si="120"/>
        <v>419</v>
      </c>
      <c r="C425" s="188">
        <f t="shared" si="117"/>
        <v>-1660262.4900278638</v>
      </c>
      <c r="D425" s="188">
        <f t="shared" si="112"/>
        <v>-6917.7603751160996</v>
      </c>
      <c r="E425" s="188">
        <f t="shared" si="121"/>
        <v>32282.582062439673</v>
      </c>
      <c r="F425" s="188">
        <f t="shared" si="113"/>
        <v>25364.821687323572</v>
      </c>
      <c r="G425" s="188">
        <f t="shared" si="114"/>
        <v>-1692545.0720903035</v>
      </c>
      <c r="H425" s="188">
        <f>G426*J$2/12</f>
        <v>0</v>
      </c>
      <c r="I425" s="188">
        <f t="shared" si="124"/>
        <v>0</v>
      </c>
      <c r="J425" s="188">
        <f t="shared" si="125"/>
        <v>0</v>
      </c>
      <c r="K425" s="188">
        <f t="shared" si="118"/>
        <v>0</v>
      </c>
      <c r="L425" s="188">
        <f t="shared" si="119"/>
        <v>25364.821687323572</v>
      </c>
    </row>
    <row r="426" spans="1:12">
      <c r="A426" s="399">
        <v>35</v>
      </c>
      <c r="B426" s="400">
        <f t="shared" si="120"/>
        <v>420</v>
      </c>
      <c r="C426" s="401">
        <f t="shared" si="117"/>
        <v>-1692545.0720903035</v>
      </c>
      <c r="D426" s="401">
        <f t="shared" si="112"/>
        <v>-7052.271133709598</v>
      </c>
      <c r="E426" s="401">
        <f t="shared" si="121"/>
        <v>32417.092821033169</v>
      </c>
      <c r="F426" s="401">
        <f t="shared" si="113"/>
        <v>25364.821687323572</v>
      </c>
      <c r="G426" s="401">
        <f t="shared" si="114"/>
        <v>-1724962.1649113367</v>
      </c>
      <c r="H426" s="401">
        <f>G426*J$2/12</f>
        <v>0</v>
      </c>
      <c r="I426" s="401">
        <f t="shared" si="124"/>
        <v>0</v>
      </c>
      <c r="J426" s="401">
        <f t="shared" si="125"/>
        <v>0</v>
      </c>
      <c r="K426" s="401">
        <f t="shared" si="118"/>
        <v>0</v>
      </c>
      <c r="L426" s="401">
        <f t="shared" si="119"/>
        <v>25364.821687323572</v>
      </c>
    </row>
    <row r="427" spans="1:12">
      <c r="A427" s="114">
        <v>36</v>
      </c>
      <c r="B427" s="182">
        <f t="shared" si="120"/>
        <v>421</v>
      </c>
      <c r="C427" s="188">
        <f t="shared" si="117"/>
        <v>-1724962.1649113367</v>
      </c>
      <c r="D427" s="188">
        <f t="shared" si="112"/>
        <v>-7187.3423537972367</v>
      </c>
      <c r="E427" s="188">
        <f t="shared" si="121"/>
        <v>32552.16404112081</v>
      </c>
      <c r="F427" s="188">
        <f t="shared" si="113"/>
        <v>25364.821687323572</v>
      </c>
      <c r="G427" s="188">
        <f t="shared" si="114"/>
        <v>-1757514.3289524575</v>
      </c>
      <c r="H427" s="188">
        <f>G438*J$2/12</f>
        <v>0</v>
      </c>
      <c r="I427" s="188">
        <f t="shared" si="124"/>
        <v>0</v>
      </c>
      <c r="J427" s="188">
        <f t="shared" si="125"/>
        <v>0</v>
      </c>
      <c r="K427" s="188">
        <f t="shared" si="118"/>
        <v>0</v>
      </c>
      <c r="L427" s="188">
        <f t="shared" si="119"/>
        <v>25364.821687323572</v>
      </c>
    </row>
    <row r="428" spans="1:12">
      <c r="A428" s="114">
        <v>36</v>
      </c>
      <c r="B428" s="182">
        <f t="shared" si="120"/>
        <v>422</v>
      </c>
      <c r="C428" s="188">
        <f t="shared" si="117"/>
        <v>-1757514.3289524575</v>
      </c>
      <c r="D428" s="188">
        <f t="shared" si="112"/>
        <v>-7322.9763706352396</v>
      </c>
      <c r="E428" s="188">
        <f t="shared" si="121"/>
        <v>32687.798057958811</v>
      </c>
      <c r="F428" s="188">
        <f t="shared" si="113"/>
        <v>25364.821687323572</v>
      </c>
      <c r="G428" s="188">
        <f t="shared" si="114"/>
        <v>-1790202.1270104162</v>
      </c>
      <c r="H428" s="188">
        <f>G438*J$2/12</f>
        <v>0</v>
      </c>
      <c r="I428" s="188">
        <f t="shared" si="124"/>
        <v>0</v>
      </c>
      <c r="J428" s="188">
        <f t="shared" si="125"/>
        <v>0</v>
      </c>
      <c r="K428" s="188">
        <f t="shared" si="118"/>
        <v>0</v>
      </c>
      <c r="L428" s="188">
        <f t="shared" si="119"/>
        <v>25364.821687323572</v>
      </c>
    </row>
    <row r="429" spans="1:12">
      <c r="A429" s="114">
        <v>36</v>
      </c>
      <c r="B429" s="182">
        <f t="shared" si="120"/>
        <v>423</v>
      </c>
      <c r="C429" s="188">
        <f t="shared" si="117"/>
        <v>-1790202.1270104162</v>
      </c>
      <c r="D429" s="188">
        <f t="shared" si="112"/>
        <v>-7459.1755292100679</v>
      </c>
      <c r="E429" s="188">
        <f t="shared" si="121"/>
        <v>32823.997216533637</v>
      </c>
      <c r="F429" s="188">
        <f t="shared" si="113"/>
        <v>25364.821687323572</v>
      </c>
      <c r="G429" s="188">
        <f t="shared" si="114"/>
        <v>-1823026.1242269499</v>
      </c>
      <c r="H429" s="188">
        <f>G438*J$2/12</f>
        <v>0</v>
      </c>
      <c r="I429" s="188">
        <f t="shared" si="124"/>
        <v>0</v>
      </c>
      <c r="J429" s="188">
        <f t="shared" si="125"/>
        <v>0</v>
      </c>
      <c r="K429" s="188">
        <f t="shared" si="118"/>
        <v>0</v>
      </c>
      <c r="L429" s="188">
        <f t="shared" si="119"/>
        <v>25364.821687323572</v>
      </c>
    </row>
    <row r="430" spans="1:12">
      <c r="A430" s="114">
        <v>36</v>
      </c>
      <c r="B430" s="182">
        <f t="shared" si="120"/>
        <v>424</v>
      </c>
      <c r="C430" s="188">
        <f t="shared" si="117"/>
        <v>-1823026.1242269499</v>
      </c>
      <c r="D430" s="188">
        <f t="shared" si="112"/>
        <v>-7595.9421842789588</v>
      </c>
      <c r="E430" s="188">
        <f t="shared" si="121"/>
        <v>32960.763871602532</v>
      </c>
      <c r="F430" s="188">
        <f t="shared" si="113"/>
        <v>25364.821687323572</v>
      </c>
      <c r="G430" s="188">
        <f t="shared" si="114"/>
        <v>-1855986.8880985524</v>
      </c>
      <c r="H430" s="188">
        <f>G438*J$2/12</f>
        <v>0</v>
      </c>
      <c r="I430" s="188">
        <f t="shared" si="124"/>
        <v>0</v>
      </c>
      <c r="J430" s="188">
        <f t="shared" si="125"/>
        <v>0</v>
      </c>
      <c r="K430" s="188">
        <f t="shared" si="118"/>
        <v>0</v>
      </c>
      <c r="L430" s="188">
        <f t="shared" si="119"/>
        <v>25364.821687323572</v>
      </c>
    </row>
    <row r="431" spans="1:12">
      <c r="A431" s="114">
        <v>36</v>
      </c>
      <c r="B431" s="182">
        <f t="shared" si="120"/>
        <v>425</v>
      </c>
      <c r="C431" s="188">
        <f t="shared" si="117"/>
        <v>-1855986.8880985524</v>
      </c>
      <c r="D431" s="188">
        <f t="shared" si="112"/>
        <v>-7733.2787004106358</v>
      </c>
      <c r="E431" s="188">
        <f t="shared" si="121"/>
        <v>33098.100387734208</v>
      </c>
      <c r="F431" s="188">
        <f t="shared" si="113"/>
        <v>25364.821687323572</v>
      </c>
      <c r="G431" s="188">
        <f t="shared" si="114"/>
        <v>-1889084.9884862865</v>
      </c>
      <c r="H431" s="188">
        <f>G438*J$2/12</f>
        <v>0</v>
      </c>
      <c r="I431" s="188">
        <f t="shared" si="124"/>
        <v>0</v>
      </c>
      <c r="J431" s="188">
        <f t="shared" si="125"/>
        <v>0</v>
      </c>
      <c r="K431" s="188">
        <f t="shared" si="118"/>
        <v>0</v>
      </c>
      <c r="L431" s="188">
        <f t="shared" si="119"/>
        <v>25364.821687323572</v>
      </c>
    </row>
    <row r="432" spans="1:12">
      <c r="A432" s="114">
        <v>36</v>
      </c>
      <c r="B432" s="182">
        <f t="shared" si="120"/>
        <v>426</v>
      </c>
      <c r="C432" s="188">
        <f t="shared" si="117"/>
        <v>-1889084.9884862865</v>
      </c>
      <c r="D432" s="188">
        <f t="shared" si="112"/>
        <v>-7871.1874520261945</v>
      </c>
      <c r="E432" s="188">
        <f t="shared" si="121"/>
        <v>33236.009139349764</v>
      </c>
      <c r="F432" s="188">
        <f t="shared" si="113"/>
        <v>25364.821687323572</v>
      </c>
      <c r="G432" s="188">
        <f t="shared" si="114"/>
        <v>-1922320.9976256362</v>
      </c>
      <c r="H432" s="188">
        <f>G438*J$2/12</f>
        <v>0</v>
      </c>
      <c r="I432" s="188">
        <f t="shared" si="124"/>
        <v>0</v>
      </c>
      <c r="J432" s="188">
        <f t="shared" si="125"/>
        <v>0</v>
      </c>
      <c r="K432" s="188">
        <f t="shared" si="118"/>
        <v>0</v>
      </c>
      <c r="L432" s="188">
        <f t="shared" si="119"/>
        <v>25364.821687323572</v>
      </c>
    </row>
    <row r="433" spans="1:13">
      <c r="A433" s="114">
        <v>36</v>
      </c>
      <c r="B433" s="182">
        <f t="shared" si="120"/>
        <v>427</v>
      </c>
      <c r="C433" s="188">
        <f t="shared" si="117"/>
        <v>-1922320.9976256362</v>
      </c>
      <c r="D433" s="188">
        <f t="shared" si="112"/>
        <v>-8009.6708234401513</v>
      </c>
      <c r="E433" s="188">
        <f t="shared" si="121"/>
        <v>33374.492510763725</v>
      </c>
      <c r="F433" s="188">
        <f t="shared" si="113"/>
        <v>25364.821687323572</v>
      </c>
      <c r="G433" s="188">
        <f t="shared" si="114"/>
        <v>-1955695.4901363999</v>
      </c>
      <c r="H433" s="188">
        <f>G438*J$2/12</f>
        <v>0</v>
      </c>
      <c r="I433" s="188">
        <f t="shared" si="124"/>
        <v>0</v>
      </c>
      <c r="J433" s="188">
        <f t="shared" si="125"/>
        <v>0</v>
      </c>
      <c r="K433" s="188">
        <f t="shared" si="118"/>
        <v>0</v>
      </c>
      <c r="L433" s="188">
        <f t="shared" si="119"/>
        <v>25364.821687323572</v>
      </c>
    </row>
    <row r="434" spans="1:13">
      <c r="A434" s="114">
        <v>36</v>
      </c>
      <c r="B434" s="182">
        <f t="shared" si="120"/>
        <v>428</v>
      </c>
      <c r="C434" s="188">
        <f t="shared" si="117"/>
        <v>-1955695.4901363999</v>
      </c>
      <c r="D434" s="188">
        <f t="shared" si="112"/>
        <v>-8148.7312089016668</v>
      </c>
      <c r="E434" s="188">
        <f t="shared" si="121"/>
        <v>33513.552896225243</v>
      </c>
      <c r="F434" s="188">
        <f t="shared" si="113"/>
        <v>25364.821687323572</v>
      </c>
      <c r="G434" s="188">
        <f t="shared" si="114"/>
        <v>-1989209.0430326252</v>
      </c>
      <c r="H434" s="188">
        <f>G438*J$2/12</f>
        <v>0</v>
      </c>
      <c r="I434" s="188">
        <f t="shared" si="124"/>
        <v>0</v>
      </c>
      <c r="J434" s="188">
        <f t="shared" si="125"/>
        <v>0</v>
      </c>
      <c r="K434" s="188">
        <f t="shared" si="118"/>
        <v>0</v>
      </c>
      <c r="L434" s="188">
        <f t="shared" si="119"/>
        <v>25364.821687323572</v>
      </c>
    </row>
    <row r="435" spans="1:13">
      <c r="A435" s="114">
        <v>36</v>
      </c>
      <c r="B435" s="182">
        <f t="shared" si="120"/>
        <v>429</v>
      </c>
      <c r="C435" s="188">
        <f t="shared" si="117"/>
        <v>-1989209.0430326252</v>
      </c>
      <c r="D435" s="188">
        <f t="shared" si="112"/>
        <v>-8288.3710126359383</v>
      </c>
      <c r="E435" s="188">
        <f t="shared" si="121"/>
        <v>33653.192699959509</v>
      </c>
      <c r="F435" s="188">
        <f t="shared" si="113"/>
        <v>25364.821687323572</v>
      </c>
      <c r="G435" s="188">
        <f t="shared" si="114"/>
        <v>-2022862.2357325847</v>
      </c>
      <c r="H435" s="188">
        <f>G438*J$2/12</f>
        <v>0</v>
      </c>
      <c r="I435" s="188">
        <f t="shared" si="124"/>
        <v>0</v>
      </c>
      <c r="J435" s="188">
        <f t="shared" si="125"/>
        <v>0</v>
      </c>
      <c r="K435" s="188">
        <f t="shared" si="118"/>
        <v>0</v>
      </c>
      <c r="L435" s="188">
        <f t="shared" si="119"/>
        <v>25364.821687323572</v>
      </c>
    </row>
    <row r="436" spans="1:13">
      <c r="A436" s="114">
        <v>36</v>
      </c>
      <c r="B436" s="182">
        <f t="shared" si="120"/>
        <v>430</v>
      </c>
      <c r="C436" s="188">
        <f t="shared" si="117"/>
        <v>-2022862.2357325847</v>
      </c>
      <c r="D436" s="188">
        <f t="shared" si="112"/>
        <v>-8428.5926488857713</v>
      </c>
      <c r="E436" s="188">
        <f t="shared" si="121"/>
        <v>33793.414336209345</v>
      </c>
      <c r="F436" s="188">
        <f t="shared" si="113"/>
        <v>25364.821687323572</v>
      </c>
      <c r="G436" s="188">
        <f t="shared" si="114"/>
        <v>-2056655.6500687941</v>
      </c>
      <c r="H436" s="188">
        <f>G438*J$2/12</f>
        <v>0</v>
      </c>
      <c r="I436" s="188">
        <f t="shared" si="124"/>
        <v>0</v>
      </c>
      <c r="J436" s="188">
        <f t="shared" si="125"/>
        <v>0</v>
      </c>
      <c r="K436" s="188">
        <f t="shared" si="118"/>
        <v>0</v>
      </c>
      <c r="L436" s="188">
        <f t="shared" si="119"/>
        <v>25364.821687323572</v>
      </c>
    </row>
    <row r="437" spans="1:13">
      <c r="A437" s="114">
        <v>36</v>
      </c>
      <c r="B437" s="182">
        <f t="shared" si="120"/>
        <v>431</v>
      </c>
      <c r="C437" s="188">
        <f t="shared" si="117"/>
        <v>-2056655.6500687941</v>
      </c>
      <c r="D437" s="188">
        <f t="shared" si="112"/>
        <v>-8569.3985419533092</v>
      </c>
      <c r="E437" s="188">
        <f t="shared" si="121"/>
        <v>33934.220229276878</v>
      </c>
      <c r="F437" s="188">
        <f t="shared" si="113"/>
        <v>25364.821687323572</v>
      </c>
      <c r="G437" s="188">
        <f t="shared" si="114"/>
        <v>-2090589.8702980711</v>
      </c>
      <c r="H437" s="188">
        <f>G438*J$2/12</f>
        <v>0</v>
      </c>
      <c r="I437" s="188">
        <f t="shared" si="124"/>
        <v>0</v>
      </c>
      <c r="J437" s="188">
        <f t="shared" si="125"/>
        <v>0</v>
      </c>
      <c r="K437" s="188">
        <f t="shared" si="118"/>
        <v>0</v>
      </c>
      <c r="L437" s="188">
        <f t="shared" si="119"/>
        <v>25364.821687323572</v>
      </c>
    </row>
    <row r="438" spans="1:13">
      <c r="A438" s="399">
        <v>36</v>
      </c>
      <c r="B438" s="400">
        <f t="shared" si="120"/>
        <v>432</v>
      </c>
      <c r="C438" s="401">
        <f t="shared" si="117"/>
        <v>-2090589.8702980711</v>
      </c>
      <c r="D438" s="401">
        <f t="shared" si="112"/>
        <v>-8710.7911262419639</v>
      </c>
      <c r="E438" s="401">
        <f t="shared" si="121"/>
        <v>34075.612813565538</v>
      </c>
      <c r="F438" s="401">
        <f t="shared" si="113"/>
        <v>25364.821687323572</v>
      </c>
      <c r="G438" s="401">
        <f t="shared" si="114"/>
        <v>-2124665.4831116367</v>
      </c>
      <c r="H438" s="401">
        <f>G438*J$2/12</f>
        <v>0</v>
      </c>
      <c r="I438" s="401">
        <f t="shared" si="124"/>
        <v>0</v>
      </c>
      <c r="J438" s="401">
        <f t="shared" si="125"/>
        <v>0</v>
      </c>
      <c r="K438" s="401">
        <f t="shared" si="118"/>
        <v>0</v>
      </c>
      <c r="L438" s="401">
        <f t="shared" si="119"/>
        <v>25364.821687323572</v>
      </c>
    </row>
    <row r="439" spans="1:13">
      <c r="A439" s="114">
        <v>37</v>
      </c>
      <c r="B439" s="182">
        <f t="shared" si="120"/>
        <v>433</v>
      </c>
      <c r="C439" s="188">
        <f t="shared" si="117"/>
        <v>-2124665.4831116367</v>
      </c>
      <c r="D439" s="188">
        <f t="shared" si="112"/>
        <v>-8852.7728462984869</v>
      </c>
      <c r="E439" s="188">
        <f t="shared" si="121"/>
        <v>34217.594533622061</v>
      </c>
      <c r="F439" s="188">
        <f t="shared" si="113"/>
        <v>25364.821687323572</v>
      </c>
      <c r="G439" s="188">
        <f t="shared" si="114"/>
        <v>-2158883.077645259</v>
      </c>
      <c r="H439" s="188">
        <f>G450*J$2/12</f>
        <v>0</v>
      </c>
      <c r="I439" s="188">
        <f t="shared" si="124"/>
        <v>0</v>
      </c>
      <c r="J439" s="188">
        <f t="shared" si="125"/>
        <v>0</v>
      </c>
      <c r="K439" s="188">
        <f t="shared" si="118"/>
        <v>0</v>
      </c>
      <c r="L439" s="188">
        <f t="shared" si="119"/>
        <v>25364.821687323572</v>
      </c>
    </row>
    <row r="440" spans="1:13">
      <c r="A440" s="114">
        <v>37</v>
      </c>
      <c r="B440" s="182">
        <f t="shared" si="120"/>
        <v>434</v>
      </c>
      <c r="C440" s="188">
        <f t="shared" si="117"/>
        <v>-2158883.077645259</v>
      </c>
      <c r="D440" s="188">
        <f t="shared" si="112"/>
        <v>-8995.3461568552466</v>
      </c>
      <c r="E440" s="188">
        <f t="shared" si="121"/>
        <v>34360.167844178817</v>
      </c>
      <c r="F440" s="188">
        <f t="shared" si="113"/>
        <v>25364.821687323572</v>
      </c>
      <c r="G440" s="188">
        <f t="shared" si="114"/>
        <v>-2193243.2454894376</v>
      </c>
      <c r="H440" s="188">
        <f>G450*J$2/12</f>
        <v>0</v>
      </c>
      <c r="I440" s="188">
        <f t="shared" si="124"/>
        <v>0</v>
      </c>
      <c r="J440" s="188">
        <f t="shared" si="125"/>
        <v>0</v>
      </c>
      <c r="K440" s="188">
        <f t="shared" si="118"/>
        <v>0</v>
      </c>
      <c r="L440" s="188">
        <f t="shared" si="119"/>
        <v>25364.821687323572</v>
      </c>
    </row>
    <row r="441" spans="1:13">
      <c r="A441" s="114">
        <v>37</v>
      </c>
      <c r="B441" s="182">
        <f t="shared" si="120"/>
        <v>435</v>
      </c>
      <c r="C441" s="188">
        <f t="shared" si="117"/>
        <v>-2193243.2454894376</v>
      </c>
      <c r="D441" s="188">
        <f t="shared" si="112"/>
        <v>-9138.5135228726576</v>
      </c>
      <c r="E441" s="188">
        <f t="shared" si="121"/>
        <v>34503.33521019623</v>
      </c>
      <c r="F441" s="188">
        <f t="shared" si="113"/>
        <v>25364.821687323572</v>
      </c>
      <c r="G441" s="188">
        <f t="shared" si="114"/>
        <v>-2227746.5806996338</v>
      </c>
      <c r="H441" s="188">
        <f>G450*J$2/12</f>
        <v>0</v>
      </c>
      <c r="I441" s="188">
        <f t="shared" si="124"/>
        <v>0</v>
      </c>
      <c r="J441" s="188">
        <f t="shared" si="125"/>
        <v>0</v>
      </c>
      <c r="K441" s="188">
        <f t="shared" si="118"/>
        <v>0</v>
      </c>
      <c r="L441" s="188">
        <f t="shared" si="119"/>
        <v>25364.821687323572</v>
      </c>
    </row>
    <row r="442" spans="1:13">
      <c r="A442" s="114">
        <v>37</v>
      </c>
      <c r="B442" s="182">
        <f t="shared" si="120"/>
        <v>436</v>
      </c>
      <c r="C442" s="188">
        <f t="shared" si="117"/>
        <v>-2227746.5806996338</v>
      </c>
      <c r="D442" s="188">
        <f t="shared" si="112"/>
        <v>-9282.2774195818074</v>
      </c>
      <c r="E442" s="188">
        <f t="shared" si="121"/>
        <v>34647.099106905378</v>
      </c>
      <c r="F442" s="188">
        <f t="shared" si="113"/>
        <v>25364.821687323572</v>
      </c>
      <c r="G442" s="188">
        <f t="shared" si="114"/>
        <v>-2262393.6798065393</v>
      </c>
      <c r="H442" s="188">
        <f>G450*J$2/12</f>
        <v>0</v>
      </c>
      <c r="I442" s="188">
        <f t="shared" si="124"/>
        <v>0</v>
      </c>
      <c r="J442" s="188">
        <f t="shared" si="125"/>
        <v>0</v>
      </c>
      <c r="K442" s="188">
        <f t="shared" si="118"/>
        <v>0</v>
      </c>
      <c r="L442" s="188">
        <f t="shared" si="119"/>
        <v>25364.821687323572</v>
      </c>
    </row>
    <row r="443" spans="1:13">
      <c r="A443" s="114">
        <v>37</v>
      </c>
      <c r="B443" s="182">
        <f t="shared" si="120"/>
        <v>437</v>
      </c>
      <c r="C443" s="188">
        <f t="shared" si="117"/>
        <v>-2262393.6798065393</v>
      </c>
      <c r="D443" s="188">
        <f t="shared" si="112"/>
        <v>-9426.6403325272477</v>
      </c>
      <c r="E443" s="188">
        <f t="shared" si="121"/>
        <v>34791.46201985082</v>
      </c>
      <c r="F443" s="188">
        <f t="shared" si="113"/>
        <v>25364.821687323572</v>
      </c>
      <c r="G443" s="188">
        <f t="shared" si="114"/>
        <v>-2297185.1418263903</v>
      </c>
      <c r="H443" s="188">
        <f>G450*J$2/12</f>
        <v>0</v>
      </c>
      <c r="I443" s="188">
        <f t="shared" si="124"/>
        <v>0</v>
      </c>
      <c r="J443" s="188">
        <f t="shared" si="125"/>
        <v>0</v>
      </c>
      <c r="K443" s="188">
        <f t="shared" si="118"/>
        <v>0</v>
      </c>
      <c r="L443" s="188">
        <f t="shared" si="119"/>
        <v>25364.821687323572</v>
      </c>
    </row>
    <row r="444" spans="1:13">
      <c r="A444" s="114">
        <v>37</v>
      </c>
      <c r="B444" s="182">
        <f t="shared" si="120"/>
        <v>438</v>
      </c>
      <c r="C444" s="188">
        <f t="shared" si="117"/>
        <v>-2297185.1418263903</v>
      </c>
      <c r="D444" s="188">
        <f t="shared" si="112"/>
        <v>-9571.6047576099609</v>
      </c>
      <c r="E444" s="188">
        <f t="shared" si="121"/>
        <v>34936.426444933531</v>
      </c>
      <c r="F444" s="188">
        <f t="shared" si="113"/>
        <v>25364.821687323572</v>
      </c>
      <c r="G444" s="188">
        <f t="shared" si="114"/>
        <v>-2332121.568271324</v>
      </c>
      <c r="H444" s="188">
        <f>G450*J$2/12</f>
        <v>0</v>
      </c>
      <c r="I444" s="188">
        <f t="shared" si="124"/>
        <v>0</v>
      </c>
      <c r="J444" s="188">
        <f t="shared" si="125"/>
        <v>0</v>
      </c>
      <c r="K444" s="188">
        <f t="shared" si="118"/>
        <v>0</v>
      </c>
      <c r="L444" s="188">
        <f t="shared" si="119"/>
        <v>25364.821687323572</v>
      </c>
    </row>
    <row r="445" spans="1:13">
      <c r="A445" s="114">
        <v>37</v>
      </c>
      <c r="B445" s="182">
        <f t="shared" si="120"/>
        <v>439</v>
      </c>
      <c r="C445" s="188">
        <f t="shared" si="117"/>
        <v>-2332121.568271324</v>
      </c>
      <c r="D445" s="188">
        <f t="shared" si="112"/>
        <v>-9717.1732011305176</v>
      </c>
      <c r="E445" s="188">
        <f t="shared" si="121"/>
        <v>35081.994888454094</v>
      </c>
      <c r="F445" s="188">
        <f t="shared" si="113"/>
        <v>25364.821687323572</v>
      </c>
      <c r="G445" s="188">
        <f t="shared" si="114"/>
        <v>-2367203.5631597782</v>
      </c>
      <c r="H445" s="188">
        <f>G450*J$2/12</f>
        <v>0</v>
      </c>
      <c r="I445" s="188">
        <f t="shared" si="124"/>
        <v>0</v>
      </c>
      <c r="J445" s="188">
        <f t="shared" si="125"/>
        <v>0</v>
      </c>
      <c r="K445" s="188">
        <f t="shared" si="118"/>
        <v>0</v>
      </c>
      <c r="L445" s="188">
        <f t="shared" si="119"/>
        <v>25364.821687323572</v>
      </c>
    </row>
    <row r="446" spans="1:13" s="139" customFormat="1">
      <c r="A446" s="114">
        <v>37</v>
      </c>
      <c r="B446" s="182">
        <f t="shared" si="120"/>
        <v>440</v>
      </c>
      <c r="C446" s="188">
        <f t="shared" si="117"/>
        <v>-2367203.5631597782</v>
      </c>
      <c r="D446" s="188">
        <f t="shared" si="112"/>
        <v>-9863.3481798324101</v>
      </c>
      <c r="E446" s="188">
        <f t="shared" si="121"/>
        <v>35228.169867155986</v>
      </c>
      <c r="F446" s="188">
        <f t="shared" si="113"/>
        <v>25364.821687323572</v>
      </c>
      <c r="G446" s="188">
        <f t="shared" si="114"/>
        <v>-2402431.7330269343</v>
      </c>
      <c r="H446" s="188">
        <f>G450*J$2/12</f>
        <v>0</v>
      </c>
      <c r="I446" s="188">
        <f t="shared" si="124"/>
        <v>0</v>
      </c>
      <c r="J446" s="188">
        <f t="shared" si="125"/>
        <v>0</v>
      </c>
      <c r="K446" s="188">
        <f t="shared" si="118"/>
        <v>0</v>
      </c>
      <c r="L446" s="188">
        <f t="shared" si="119"/>
        <v>25364.821687323572</v>
      </c>
      <c r="M446" s="114"/>
    </row>
    <row r="447" spans="1:13" s="139" customFormat="1">
      <c r="A447" s="114">
        <v>37</v>
      </c>
      <c r="B447" s="182">
        <f t="shared" si="120"/>
        <v>441</v>
      </c>
      <c r="C447" s="188">
        <f t="shared" si="117"/>
        <v>-2402431.7330269343</v>
      </c>
      <c r="D447" s="188">
        <f t="shared" si="112"/>
        <v>-10010.132220945559</v>
      </c>
      <c r="E447" s="188">
        <f t="shared" si="121"/>
        <v>35374.953908269134</v>
      </c>
      <c r="F447" s="188">
        <f t="shared" si="113"/>
        <v>25364.821687323572</v>
      </c>
      <c r="G447" s="188">
        <f t="shared" si="114"/>
        <v>-2437806.6869352036</v>
      </c>
      <c r="H447" s="188">
        <f>G450*J$2/12</f>
        <v>0</v>
      </c>
      <c r="I447" s="188">
        <f t="shared" si="124"/>
        <v>0</v>
      </c>
      <c r="J447" s="188">
        <f t="shared" si="125"/>
        <v>0</v>
      </c>
      <c r="K447" s="188">
        <f t="shared" si="118"/>
        <v>0</v>
      </c>
      <c r="L447" s="188">
        <f t="shared" si="119"/>
        <v>25364.821687323572</v>
      </c>
      <c r="M447" s="114"/>
    </row>
    <row r="448" spans="1:13" s="139" customFormat="1">
      <c r="A448" s="114">
        <v>37</v>
      </c>
      <c r="B448" s="182">
        <f t="shared" si="120"/>
        <v>442</v>
      </c>
      <c r="C448" s="188">
        <f t="shared" si="117"/>
        <v>-2437806.6869352036</v>
      </c>
      <c r="D448" s="188">
        <f t="shared" si="112"/>
        <v>-10157.527862230016</v>
      </c>
      <c r="E448" s="188">
        <f t="shared" si="121"/>
        <v>35522.34954955359</v>
      </c>
      <c r="F448" s="188">
        <f t="shared" si="113"/>
        <v>25364.821687323572</v>
      </c>
      <c r="G448" s="188">
        <f t="shared" si="114"/>
        <v>-2473329.0364847574</v>
      </c>
      <c r="H448" s="188">
        <f>G450*J$2/12</f>
        <v>0</v>
      </c>
      <c r="I448" s="188">
        <f t="shared" si="124"/>
        <v>0</v>
      </c>
      <c r="J448" s="188">
        <f t="shared" si="125"/>
        <v>0</v>
      </c>
      <c r="K448" s="188">
        <f t="shared" si="118"/>
        <v>0</v>
      </c>
      <c r="L448" s="188">
        <f t="shared" si="119"/>
        <v>25364.821687323572</v>
      </c>
      <c r="M448" s="114"/>
    </row>
    <row r="449" spans="1:13" s="139" customFormat="1">
      <c r="A449" s="114">
        <v>37</v>
      </c>
      <c r="B449" s="182">
        <f t="shared" si="120"/>
        <v>443</v>
      </c>
      <c r="C449" s="188">
        <f t="shared" si="117"/>
        <v>-2473329.0364847574</v>
      </c>
      <c r="D449" s="188">
        <f t="shared" si="112"/>
        <v>-10305.537652019824</v>
      </c>
      <c r="E449" s="188">
        <f t="shared" si="121"/>
        <v>35670.359339343398</v>
      </c>
      <c r="F449" s="188">
        <f t="shared" si="113"/>
        <v>25364.821687323572</v>
      </c>
      <c r="G449" s="188">
        <f t="shared" si="114"/>
        <v>-2508999.3958241008</v>
      </c>
      <c r="H449" s="188">
        <f>G450*J$2/12</f>
        <v>0</v>
      </c>
      <c r="I449" s="188">
        <f t="shared" si="124"/>
        <v>0</v>
      </c>
      <c r="J449" s="188">
        <f t="shared" si="125"/>
        <v>0</v>
      </c>
      <c r="K449" s="188">
        <f t="shared" si="118"/>
        <v>0</v>
      </c>
      <c r="L449" s="188">
        <f t="shared" si="119"/>
        <v>25364.821687323572</v>
      </c>
      <c r="M449" s="114"/>
    </row>
    <row r="450" spans="1:13" s="139" customFormat="1">
      <c r="A450" s="114">
        <v>37</v>
      </c>
      <c r="B450" s="182">
        <f t="shared" si="120"/>
        <v>444</v>
      </c>
      <c r="C450" s="188">
        <f t="shared" si="117"/>
        <v>-2508999.3958241008</v>
      </c>
      <c r="D450" s="188">
        <f t="shared" si="112"/>
        <v>-10454.164149267088</v>
      </c>
      <c r="E450" s="188">
        <f t="shared" si="121"/>
        <v>35818.985836590662</v>
      </c>
      <c r="F450" s="188">
        <f t="shared" si="113"/>
        <v>25364.821687323572</v>
      </c>
      <c r="G450" s="188">
        <f t="shared" si="114"/>
        <v>-2544818.3816606915</v>
      </c>
      <c r="H450" s="188">
        <f>G450*J$2/12</f>
        <v>0</v>
      </c>
      <c r="I450" s="188">
        <f t="shared" si="124"/>
        <v>0</v>
      </c>
      <c r="J450" s="188">
        <f t="shared" si="125"/>
        <v>0</v>
      </c>
      <c r="K450" s="188">
        <f t="shared" si="118"/>
        <v>0</v>
      </c>
      <c r="L450" s="188">
        <f t="shared" si="119"/>
        <v>25364.821687323572</v>
      </c>
      <c r="M450" s="114"/>
    </row>
    <row r="451" spans="1:13" s="139" customFormat="1">
      <c r="A451" s="114">
        <v>38</v>
      </c>
      <c r="B451" s="182">
        <f t="shared" si="120"/>
        <v>445</v>
      </c>
      <c r="C451" s="188">
        <f t="shared" si="117"/>
        <v>-2544818.3816606915</v>
      </c>
      <c r="D451" s="188">
        <f t="shared" si="112"/>
        <v>-10603.409923586214</v>
      </c>
      <c r="E451" s="188">
        <f t="shared" si="121"/>
        <v>35968.231610909788</v>
      </c>
      <c r="F451" s="188">
        <f t="shared" si="113"/>
        <v>25364.821687323572</v>
      </c>
      <c r="G451" s="188">
        <f t="shared" si="114"/>
        <v>-2580786.613271601</v>
      </c>
      <c r="H451" s="188">
        <f>G462*J$2/12</f>
        <v>0</v>
      </c>
      <c r="I451" s="188">
        <f t="shared" si="124"/>
        <v>0</v>
      </c>
      <c r="J451" s="188">
        <f t="shared" si="125"/>
        <v>0</v>
      </c>
      <c r="K451" s="188">
        <f t="shared" si="118"/>
        <v>0</v>
      </c>
      <c r="L451" s="188">
        <f t="shared" si="119"/>
        <v>25364.821687323572</v>
      </c>
      <c r="M451" s="114"/>
    </row>
    <row r="452" spans="1:13" s="139" customFormat="1">
      <c r="A452" s="114">
        <v>38</v>
      </c>
      <c r="B452" s="182">
        <f t="shared" si="120"/>
        <v>446</v>
      </c>
      <c r="C452" s="188">
        <f t="shared" si="117"/>
        <v>-2580786.613271601</v>
      </c>
      <c r="D452" s="188">
        <f t="shared" si="112"/>
        <v>-10753.277555298338</v>
      </c>
      <c r="E452" s="188">
        <f t="shared" si="121"/>
        <v>36118.099242621909</v>
      </c>
      <c r="F452" s="188">
        <f t="shared" si="113"/>
        <v>25364.821687323572</v>
      </c>
      <c r="G452" s="188">
        <f t="shared" si="114"/>
        <v>-2616904.7125142231</v>
      </c>
      <c r="H452" s="188">
        <f>G462*J$2/12</f>
        <v>0</v>
      </c>
      <c r="I452" s="188">
        <f t="shared" si="124"/>
        <v>0</v>
      </c>
      <c r="J452" s="188">
        <f t="shared" si="125"/>
        <v>0</v>
      </c>
      <c r="K452" s="188">
        <f t="shared" si="118"/>
        <v>0</v>
      </c>
      <c r="L452" s="188">
        <f t="shared" si="119"/>
        <v>25364.821687323572</v>
      </c>
      <c r="M452" s="114"/>
    </row>
    <row r="453" spans="1:13">
      <c r="A453" s="114">
        <v>38</v>
      </c>
      <c r="B453" s="182">
        <f t="shared" si="120"/>
        <v>447</v>
      </c>
      <c r="C453" s="188">
        <f t="shared" si="117"/>
        <v>-2616904.7125142231</v>
      </c>
      <c r="D453" s="188">
        <f t="shared" si="112"/>
        <v>-10903.76963547593</v>
      </c>
      <c r="E453" s="188">
        <f t="shared" si="121"/>
        <v>36268.591322799504</v>
      </c>
      <c r="F453" s="188">
        <f t="shared" si="113"/>
        <v>25364.821687323572</v>
      </c>
      <c r="G453" s="188">
        <f t="shared" si="114"/>
        <v>-2653173.3038370227</v>
      </c>
      <c r="H453" s="188">
        <f>G462*J$2/12</f>
        <v>0</v>
      </c>
      <c r="I453" s="188">
        <f t="shared" si="124"/>
        <v>0</v>
      </c>
      <c r="J453" s="188">
        <f t="shared" si="125"/>
        <v>0</v>
      </c>
      <c r="K453" s="188">
        <f t="shared" si="118"/>
        <v>0</v>
      </c>
      <c r="L453" s="188">
        <f t="shared" si="119"/>
        <v>25364.821687323572</v>
      </c>
    </row>
    <row r="454" spans="1:13">
      <c r="A454" s="114">
        <v>38</v>
      </c>
      <c r="B454" s="182">
        <f t="shared" si="120"/>
        <v>448</v>
      </c>
      <c r="C454" s="188">
        <f t="shared" si="117"/>
        <v>-2653173.3038370227</v>
      </c>
      <c r="D454" s="188">
        <f t="shared" si="112"/>
        <v>-11054.888765987596</v>
      </c>
      <c r="E454" s="188">
        <f t="shared" si="121"/>
        <v>36419.710453311171</v>
      </c>
      <c r="F454" s="188">
        <f t="shared" si="113"/>
        <v>25364.821687323572</v>
      </c>
      <c r="G454" s="188">
        <f t="shared" si="114"/>
        <v>-2689593.0142903337</v>
      </c>
      <c r="H454" s="188">
        <f>G462*J$2/12</f>
        <v>0</v>
      </c>
      <c r="I454" s="188">
        <f t="shared" si="124"/>
        <v>0</v>
      </c>
      <c r="J454" s="188">
        <f t="shared" si="125"/>
        <v>0</v>
      </c>
      <c r="K454" s="188">
        <f t="shared" si="118"/>
        <v>0</v>
      </c>
      <c r="L454" s="188">
        <f t="shared" si="119"/>
        <v>25364.821687323572</v>
      </c>
    </row>
    <row r="455" spans="1:13">
      <c r="A455" s="114">
        <v>38</v>
      </c>
      <c r="B455" s="182">
        <f t="shared" si="120"/>
        <v>449</v>
      </c>
      <c r="C455" s="188">
        <f t="shared" si="117"/>
        <v>-2689593.0142903337</v>
      </c>
      <c r="D455" s="188">
        <f t="shared" ref="D455:D486" si="126">(C455*$J$1)/12</f>
        <v>-11206.637559543058</v>
      </c>
      <c r="E455" s="188">
        <f t="shared" si="121"/>
        <v>36571.459246866631</v>
      </c>
      <c r="F455" s="188">
        <f t="shared" ref="F455:F486" si="127">PMT($J$1/12,$E$3*12,-$C$7,0)</f>
        <v>25364.821687323572</v>
      </c>
      <c r="G455" s="188">
        <f t="shared" ref="G455:G486" si="128">C455-E455</f>
        <v>-2726164.4735372001</v>
      </c>
      <c r="H455" s="188">
        <f>G462*J$2/12</f>
        <v>0</v>
      </c>
      <c r="I455" s="188">
        <f t="shared" si="124"/>
        <v>0</v>
      </c>
      <c r="J455" s="188">
        <f t="shared" si="125"/>
        <v>0</v>
      </c>
      <c r="K455" s="188">
        <f t="shared" si="118"/>
        <v>0</v>
      </c>
      <c r="L455" s="188">
        <f t="shared" si="119"/>
        <v>25364.821687323572</v>
      </c>
    </row>
    <row r="456" spans="1:13">
      <c r="A456" s="114">
        <v>38</v>
      </c>
      <c r="B456" s="182">
        <f t="shared" si="120"/>
        <v>450</v>
      </c>
      <c r="C456" s="188">
        <f t="shared" ref="C456:C486" si="129">G455</f>
        <v>-2726164.4735372001</v>
      </c>
      <c r="D456" s="188">
        <f t="shared" si="126"/>
        <v>-11359.018639738335</v>
      </c>
      <c r="E456" s="188">
        <f t="shared" si="121"/>
        <v>36723.840327061909</v>
      </c>
      <c r="F456" s="188">
        <f t="shared" si="127"/>
        <v>25364.821687323572</v>
      </c>
      <c r="G456" s="188">
        <f t="shared" si="128"/>
        <v>-2762888.3138642618</v>
      </c>
      <c r="H456" s="188">
        <f>G462*J$2/12</f>
        <v>0</v>
      </c>
      <c r="I456" s="188">
        <f t="shared" si="124"/>
        <v>0</v>
      </c>
      <c r="J456" s="188">
        <f t="shared" si="125"/>
        <v>0</v>
      </c>
      <c r="K456" s="188">
        <f t="shared" ref="K456:K486" si="130">SUM(I456:J456)</f>
        <v>0</v>
      </c>
      <c r="L456" s="188">
        <f t="shared" ref="L456:L486" si="131">F456+H456+K456</f>
        <v>25364.821687323572</v>
      </c>
    </row>
    <row r="457" spans="1:13">
      <c r="A457" s="114">
        <v>38</v>
      </c>
      <c r="B457" s="182">
        <f t="shared" ref="B457:B486" si="132">B456+1</f>
        <v>451</v>
      </c>
      <c r="C457" s="188">
        <f t="shared" si="129"/>
        <v>-2762888.3138642618</v>
      </c>
      <c r="D457" s="188">
        <f t="shared" si="126"/>
        <v>-11512.034641101091</v>
      </c>
      <c r="E457" s="188">
        <f t="shared" ref="E457:E486" si="133">(F457-D457)</f>
        <v>36876.856328424663</v>
      </c>
      <c r="F457" s="188">
        <f t="shared" si="127"/>
        <v>25364.821687323572</v>
      </c>
      <c r="G457" s="188">
        <f t="shared" si="128"/>
        <v>-2799765.1701926864</v>
      </c>
      <c r="H457" s="188">
        <f>G462*J$2/12</f>
        <v>0</v>
      </c>
      <c r="I457" s="188">
        <f t="shared" si="124"/>
        <v>0</v>
      </c>
      <c r="J457" s="188">
        <f t="shared" si="125"/>
        <v>0</v>
      </c>
      <c r="K457" s="188">
        <f t="shared" si="130"/>
        <v>0</v>
      </c>
      <c r="L457" s="188">
        <f t="shared" si="131"/>
        <v>25364.821687323572</v>
      </c>
    </row>
    <row r="458" spans="1:13">
      <c r="A458" s="114">
        <v>38</v>
      </c>
      <c r="B458" s="182">
        <f t="shared" si="132"/>
        <v>452</v>
      </c>
      <c r="C458" s="188">
        <f t="shared" si="129"/>
        <v>-2799765.1701926864</v>
      </c>
      <c r="D458" s="188">
        <f t="shared" si="126"/>
        <v>-11665.688209136193</v>
      </c>
      <c r="E458" s="188">
        <f t="shared" si="133"/>
        <v>37030.509896459764</v>
      </c>
      <c r="F458" s="188">
        <f t="shared" si="127"/>
        <v>25364.821687323572</v>
      </c>
      <c r="G458" s="188">
        <f t="shared" si="128"/>
        <v>-2836795.6800891464</v>
      </c>
      <c r="H458" s="188">
        <f>G462*J$2/12</f>
        <v>0</v>
      </c>
      <c r="I458" s="188">
        <f t="shared" si="124"/>
        <v>0</v>
      </c>
      <c r="J458" s="188">
        <f t="shared" si="125"/>
        <v>0</v>
      </c>
      <c r="K458" s="188">
        <f t="shared" si="130"/>
        <v>0</v>
      </c>
      <c r="L458" s="188">
        <f t="shared" si="131"/>
        <v>25364.821687323572</v>
      </c>
    </row>
    <row r="459" spans="1:13">
      <c r="A459" s="114">
        <v>38</v>
      </c>
      <c r="B459" s="182">
        <f t="shared" si="132"/>
        <v>453</v>
      </c>
      <c r="C459" s="188">
        <f t="shared" si="129"/>
        <v>-2836795.6800891464</v>
      </c>
      <c r="D459" s="188">
        <f t="shared" si="126"/>
        <v>-11819.982000371443</v>
      </c>
      <c r="E459" s="188">
        <f t="shared" si="133"/>
        <v>37184.803687695014</v>
      </c>
      <c r="F459" s="188">
        <f t="shared" si="127"/>
        <v>25364.821687323572</v>
      </c>
      <c r="G459" s="188">
        <f t="shared" si="128"/>
        <v>-2873980.4837768413</v>
      </c>
      <c r="H459" s="188">
        <f>G462*J$2/12</f>
        <v>0</v>
      </c>
      <c r="I459" s="188">
        <f t="shared" si="124"/>
        <v>0</v>
      </c>
      <c r="J459" s="188">
        <f t="shared" si="125"/>
        <v>0</v>
      </c>
      <c r="K459" s="188">
        <f t="shared" si="130"/>
        <v>0</v>
      </c>
      <c r="L459" s="188">
        <f t="shared" si="131"/>
        <v>25364.821687323572</v>
      </c>
    </row>
    <row r="460" spans="1:13">
      <c r="A460" s="114">
        <v>38</v>
      </c>
      <c r="B460" s="182">
        <f t="shared" si="132"/>
        <v>454</v>
      </c>
      <c r="C460" s="188">
        <f t="shared" si="129"/>
        <v>-2873980.4837768413</v>
      </c>
      <c r="D460" s="188">
        <f t="shared" si="126"/>
        <v>-11974.918682403506</v>
      </c>
      <c r="E460" s="188">
        <f t="shared" si="133"/>
        <v>37339.740369727078</v>
      </c>
      <c r="F460" s="188">
        <f t="shared" si="127"/>
        <v>25364.821687323572</v>
      </c>
      <c r="G460" s="188">
        <f t="shared" si="128"/>
        <v>-2911320.2241465682</v>
      </c>
      <c r="H460" s="188">
        <f>G462*J$2/12</f>
        <v>0</v>
      </c>
      <c r="I460" s="188">
        <f t="shared" si="124"/>
        <v>0</v>
      </c>
      <c r="J460" s="188">
        <f t="shared" si="125"/>
        <v>0</v>
      </c>
      <c r="K460" s="188">
        <f t="shared" si="130"/>
        <v>0</v>
      </c>
      <c r="L460" s="188">
        <f t="shared" si="131"/>
        <v>25364.821687323572</v>
      </c>
    </row>
    <row r="461" spans="1:13">
      <c r="A461" s="114">
        <v>38</v>
      </c>
      <c r="B461" s="182">
        <f t="shared" si="132"/>
        <v>455</v>
      </c>
      <c r="C461" s="188">
        <f t="shared" si="129"/>
        <v>-2911320.2241465682</v>
      </c>
      <c r="D461" s="188">
        <f t="shared" si="126"/>
        <v>-12130.500933944035</v>
      </c>
      <c r="E461" s="188">
        <f t="shared" si="133"/>
        <v>37495.322621267609</v>
      </c>
      <c r="F461" s="188">
        <f t="shared" si="127"/>
        <v>25364.821687323572</v>
      </c>
      <c r="G461" s="188">
        <f t="shared" si="128"/>
        <v>-2948815.546767836</v>
      </c>
      <c r="H461" s="188">
        <f>G462*J$2/12</f>
        <v>0</v>
      </c>
      <c r="I461" s="188">
        <f t="shared" si="124"/>
        <v>0</v>
      </c>
      <c r="J461" s="188">
        <f t="shared" si="125"/>
        <v>0</v>
      </c>
      <c r="K461" s="188">
        <f t="shared" si="130"/>
        <v>0</v>
      </c>
      <c r="L461" s="188">
        <f t="shared" si="131"/>
        <v>25364.821687323572</v>
      </c>
    </row>
    <row r="462" spans="1:13">
      <c r="A462" s="114">
        <v>38</v>
      </c>
      <c r="B462" s="182">
        <f t="shared" si="132"/>
        <v>456</v>
      </c>
      <c r="C462" s="188">
        <f t="shared" si="129"/>
        <v>-2948815.546767836</v>
      </c>
      <c r="D462" s="188">
        <f t="shared" si="126"/>
        <v>-12286.731444865984</v>
      </c>
      <c r="E462" s="188">
        <f t="shared" si="133"/>
        <v>37651.553132189554</v>
      </c>
      <c r="F462" s="188">
        <f t="shared" si="127"/>
        <v>25364.821687323572</v>
      </c>
      <c r="G462" s="188">
        <f t="shared" si="128"/>
        <v>-2986467.0999000254</v>
      </c>
      <c r="H462" s="188">
        <f>G462*J$2/12</f>
        <v>0</v>
      </c>
      <c r="I462" s="188">
        <f t="shared" si="124"/>
        <v>0</v>
      </c>
      <c r="J462" s="188">
        <f t="shared" si="125"/>
        <v>0</v>
      </c>
      <c r="K462" s="188">
        <f t="shared" si="130"/>
        <v>0</v>
      </c>
      <c r="L462" s="188">
        <f t="shared" si="131"/>
        <v>25364.821687323572</v>
      </c>
    </row>
    <row r="463" spans="1:13">
      <c r="A463" s="114">
        <v>39</v>
      </c>
      <c r="B463" s="182">
        <f t="shared" si="132"/>
        <v>457</v>
      </c>
      <c r="C463" s="188">
        <f t="shared" si="129"/>
        <v>-2986467.0999000254</v>
      </c>
      <c r="D463" s="188">
        <f t="shared" si="126"/>
        <v>-12443.612916250107</v>
      </c>
      <c r="E463" s="188">
        <f t="shared" si="133"/>
        <v>37808.434603573682</v>
      </c>
      <c r="F463" s="188">
        <f t="shared" si="127"/>
        <v>25364.821687323572</v>
      </c>
      <c r="G463" s="188">
        <f t="shared" si="128"/>
        <v>-3024275.5345035992</v>
      </c>
      <c r="H463" s="188">
        <f>G474*J$2/12</f>
        <v>0</v>
      </c>
      <c r="I463" s="188">
        <f t="shared" si="124"/>
        <v>0</v>
      </c>
      <c r="J463" s="188">
        <f t="shared" si="125"/>
        <v>0</v>
      </c>
      <c r="K463" s="188">
        <f t="shared" si="130"/>
        <v>0</v>
      </c>
      <c r="L463" s="188">
        <f t="shared" si="131"/>
        <v>25364.821687323572</v>
      </c>
    </row>
    <row r="464" spans="1:13">
      <c r="A464" s="114">
        <v>39</v>
      </c>
      <c r="B464" s="182">
        <f t="shared" si="132"/>
        <v>458</v>
      </c>
      <c r="C464" s="188">
        <f t="shared" si="129"/>
        <v>-3024275.5345035992</v>
      </c>
      <c r="D464" s="188">
        <f t="shared" si="126"/>
        <v>-12601.148060431662</v>
      </c>
      <c r="E464" s="188">
        <f t="shared" si="133"/>
        <v>37965.969747755233</v>
      </c>
      <c r="F464" s="188">
        <f t="shared" si="127"/>
        <v>25364.821687323572</v>
      </c>
      <c r="G464" s="188">
        <f t="shared" si="128"/>
        <v>-3062241.5042513544</v>
      </c>
      <c r="H464" s="188">
        <f>G474*J$2/12</f>
        <v>0</v>
      </c>
      <c r="I464" s="188">
        <f t="shared" si="124"/>
        <v>0</v>
      </c>
      <c r="J464" s="188">
        <f t="shared" si="125"/>
        <v>0</v>
      </c>
      <c r="K464" s="188">
        <f t="shared" si="130"/>
        <v>0</v>
      </c>
      <c r="L464" s="188">
        <f t="shared" si="131"/>
        <v>25364.821687323572</v>
      </c>
    </row>
    <row r="465" spans="1:12">
      <c r="A465" s="114">
        <v>39</v>
      </c>
      <c r="B465" s="182">
        <f t="shared" si="132"/>
        <v>459</v>
      </c>
      <c r="C465" s="188">
        <f t="shared" si="129"/>
        <v>-3062241.5042513544</v>
      </c>
      <c r="D465" s="188">
        <f t="shared" si="126"/>
        <v>-12759.33960104731</v>
      </c>
      <c r="E465" s="188">
        <f t="shared" si="133"/>
        <v>38124.16128837088</v>
      </c>
      <c r="F465" s="188">
        <f t="shared" si="127"/>
        <v>25364.821687323572</v>
      </c>
      <c r="G465" s="188">
        <f t="shared" si="128"/>
        <v>-3100365.6655397252</v>
      </c>
      <c r="H465" s="188">
        <f>G474*J$2/12</f>
        <v>0</v>
      </c>
      <c r="I465" s="188">
        <f t="shared" si="124"/>
        <v>0</v>
      </c>
      <c r="J465" s="188">
        <f t="shared" si="125"/>
        <v>0</v>
      </c>
      <c r="K465" s="188">
        <f t="shared" si="130"/>
        <v>0</v>
      </c>
      <c r="L465" s="188">
        <f t="shared" si="131"/>
        <v>25364.821687323572</v>
      </c>
    </row>
    <row r="466" spans="1:12">
      <c r="A466" s="114">
        <v>39</v>
      </c>
      <c r="B466" s="182">
        <f t="shared" si="132"/>
        <v>460</v>
      </c>
      <c r="C466" s="188">
        <f t="shared" si="129"/>
        <v>-3100365.6655397252</v>
      </c>
      <c r="D466" s="188">
        <f t="shared" si="126"/>
        <v>-12918.190273082189</v>
      </c>
      <c r="E466" s="188">
        <f t="shared" si="133"/>
        <v>38283.011960405762</v>
      </c>
      <c r="F466" s="188">
        <f t="shared" si="127"/>
        <v>25364.821687323572</v>
      </c>
      <c r="G466" s="188">
        <f t="shared" si="128"/>
        <v>-3138648.6775001311</v>
      </c>
      <c r="H466" s="188">
        <f>G474*J$2/12</f>
        <v>0</v>
      </c>
      <c r="I466" s="188">
        <f t="shared" si="124"/>
        <v>0</v>
      </c>
      <c r="J466" s="188">
        <f t="shared" si="125"/>
        <v>0</v>
      </c>
      <c r="K466" s="188">
        <f t="shared" si="130"/>
        <v>0</v>
      </c>
      <c r="L466" s="188">
        <f t="shared" si="131"/>
        <v>25364.821687323572</v>
      </c>
    </row>
    <row r="467" spans="1:12">
      <c r="A467" s="114">
        <v>39</v>
      </c>
      <c r="B467" s="182">
        <f t="shared" si="132"/>
        <v>461</v>
      </c>
      <c r="C467" s="188">
        <f t="shared" si="129"/>
        <v>-3138648.6775001311</v>
      </c>
      <c r="D467" s="188">
        <f t="shared" si="126"/>
        <v>-13077.702822917214</v>
      </c>
      <c r="E467" s="188">
        <f t="shared" si="133"/>
        <v>38442.524510240786</v>
      </c>
      <c r="F467" s="188">
        <f t="shared" si="127"/>
        <v>25364.821687323572</v>
      </c>
      <c r="G467" s="188">
        <f t="shared" si="128"/>
        <v>-3177091.2020103717</v>
      </c>
      <c r="H467" s="188">
        <f>G474*J$2/12</f>
        <v>0</v>
      </c>
      <c r="I467" s="188">
        <f t="shared" si="124"/>
        <v>0</v>
      </c>
      <c r="J467" s="188">
        <f t="shared" si="125"/>
        <v>0</v>
      </c>
      <c r="K467" s="188">
        <f t="shared" si="130"/>
        <v>0</v>
      </c>
      <c r="L467" s="188">
        <f t="shared" si="131"/>
        <v>25364.821687323572</v>
      </c>
    </row>
    <row r="468" spans="1:12">
      <c r="A468" s="114">
        <v>39</v>
      </c>
      <c r="B468" s="182">
        <f t="shared" si="132"/>
        <v>462</v>
      </c>
      <c r="C468" s="188">
        <f t="shared" si="129"/>
        <v>-3177091.2020103717</v>
      </c>
      <c r="D468" s="188">
        <f t="shared" si="126"/>
        <v>-13237.880008376551</v>
      </c>
      <c r="E468" s="188">
        <f t="shared" si="133"/>
        <v>38602.701695700125</v>
      </c>
      <c r="F468" s="188">
        <f t="shared" si="127"/>
        <v>25364.821687323572</v>
      </c>
      <c r="G468" s="188">
        <f t="shared" si="128"/>
        <v>-3215693.9037060719</v>
      </c>
      <c r="H468" s="188">
        <f>G474*J$2/12</f>
        <v>0</v>
      </c>
      <c r="I468" s="188">
        <f t="shared" si="124"/>
        <v>0</v>
      </c>
      <c r="J468" s="188">
        <f t="shared" si="125"/>
        <v>0</v>
      </c>
      <c r="K468" s="188">
        <f t="shared" si="130"/>
        <v>0</v>
      </c>
      <c r="L468" s="188">
        <f t="shared" si="131"/>
        <v>25364.821687323572</v>
      </c>
    </row>
    <row r="469" spans="1:12">
      <c r="A469" s="114">
        <v>39</v>
      </c>
      <c r="B469" s="182">
        <f t="shared" si="132"/>
        <v>463</v>
      </c>
      <c r="C469" s="188">
        <f t="shared" si="129"/>
        <v>-3215693.9037060719</v>
      </c>
      <c r="D469" s="188">
        <f t="shared" si="126"/>
        <v>-13398.724598775299</v>
      </c>
      <c r="E469" s="188">
        <f t="shared" si="133"/>
        <v>38763.54628609887</v>
      </c>
      <c r="F469" s="188">
        <f t="shared" si="127"/>
        <v>25364.821687323572</v>
      </c>
      <c r="G469" s="188">
        <f t="shared" si="128"/>
        <v>-3254457.4499921706</v>
      </c>
      <c r="H469" s="188">
        <f>G474*J$2/12</f>
        <v>0</v>
      </c>
      <c r="I469" s="188">
        <f t="shared" si="124"/>
        <v>0</v>
      </c>
      <c r="J469" s="188">
        <f t="shared" si="125"/>
        <v>0</v>
      </c>
      <c r="K469" s="188">
        <f t="shared" si="130"/>
        <v>0</v>
      </c>
      <c r="L469" s="188">
        <f t="shared" si="131"/>
        <v>25364.821687323572</v>
      </c>
    </row>
    <row r="470" spans="1:12">
      <c r="A470" s="114">
        <v>39</v>
      </c>
      <c r="B470" s="182">
        <f t="shared" si="132"/>
        <v>464</v>
      </c>
      <c r="C470" s="188">
        <f t="shared" si="129"/>
        <v>-3254457.4499921706</v>
      </c>
      <c r="D470" s="188">
        <f t="shared" si="126"/>
        <v>-13560.239374967379</v>
      </c>
      <c r="E470" s="188">
        <f t="shared" si="133"/>
        <v>38925.061062290952</v>
      </c>
      <c r="F470" s="188">
        <f t="shared" si="127"/>
        <v>25364.821687323572</v>
      </c>
      <c r="G470" s="188">
        <f t="shared" si="128"/>
        <v>-3293382.5110544614</v>
      </c>
      <c r="H470" s="188">
        <f>G474*J$2/12</f>
        <v>0</v>
      </c>
      <c r="I470" s="188">
        <f t="shared" si="124"/>
        <v>0</v>
      </c>
      <c r="J470" s="188">
        <f t="shared" si="125"/>
        <v>0</v>
      </c>
      <c r="K470" s="188">
        <f t="shared" si="130"/>
        <v>0</v>
      </c>
      <c r="L470" s="188">
        <f t="shared" si="131"/>
        <v>25364.821687323572</v>
      </c>
    </row>
    <row r="471" spans="1:12">
      <c r="A471" s="114">
        <v>39</v>
      </c>
      <c r="B471" s="182">
        <f t="shared" si="132"/>
        <v>465</v>
      </c>
      <c r="C471" s="188">
        <f t="shared" si="129"/>
        <v>-3293382.5110544614</v>
      </c>
      <c r="D471" s="188">
        <f t="shared" si="126"/>
        <v>-13722.427129393589</v>
      </c>
      <c r="E471" s="188">
        <f t="shared" si="133"/>
        <v>39087.248816717161</v>
      </c>
      <c r="F471" s="188">
        <f t="shared" si="127"/>
        <v>25364.821687323572</v>
      </c>
      <c r="G471" s="188">
        <f t="shared" si="128"/>
        <v>-3332469.7598711783</v>
      </c>
      <c r="H471" s="188">
        <f>G474*J$2/12</f>
        <v>0</v>
      </c>
      <c r="I471" s="188">
        <f t="shared" si="124"/>
        <v>0</v>
      </c>
      <c r="J471" s="188">
        <f t="shared" si="125"/>
        <v>0</v>
      </c>
      <c r="K471" s="188">
        <f t="shared" si="130"/>
        <v>0</v>
      </c>
      <c r="L471" s="188">
        <f t="shared" si="131"/>
        <v>25364.821687323572</v>
      </c>
    </row>
    <row r="472" spans="1:12">
      <c r="A472" s="114">
        <v>39</v>
      </c>
      <c r="B472" s="182">
        <f t="shared" si="132"/>
        <v>466</v>
      </c>
      <c r="C472" s="188">
        <f t="shared" si="129"/>
        <v>-3332469.7598711783</v>
      </c>
      <c r="D472" s="188">
        <f t="shared" si="126"/>
        <v>-13885.290666129911</v>
      </c>
      <c r="E472" s="188">
        <f t="shared" si="133"/>
        <v>39250.112353453485</v>
      </c>
      <c r="F472" s="188">
        <f t="shared" si="127"/>
        <v>25364.821687323572</v>
      </c>
      <c r="G472" s="188">
        <f t="shared" si="128"/>
        <v>-3371719.8722246317</v>
      </c>
      <c r="H472" s="188">
        <f>G474*J$2/12</f>
        <v>0</v>
      </c>
      <c r="I472" s="188">
        <f t="shared" si="124"/>
        <v>0</v>
      </c>
      <c r="J472" s="188">
        <f t="shared" si="125"/>
        <v>0</v>
      </c>
      <c r="K472" s="188">
        <f t="shared" si="130"/>
        <v>0</v>
      </c>
      <c r="L472" s="188">
        <f t="shared" si="131"/>
        <v>25364.821687323572</v>
      </c>
    </row>
    <row r="473" spans="1:12">
      <c r="A473" s="114">
        <v>39</v>
      </c>
      <c r="B473" s="182">
        <f t="shared" si="132"/>
        <v>467</v>
      </c>
      <c r="C473" s="188">
        <f t="shared" si="129"/>
        <v>-3371719.8722246317</v>
      </c>
      <c r="D473" s="188">
        <f t="shared" si="126"/>
        <v>-14048.832800935967</v>
      </c>
      <c r="E473" s="188">
        <f t="shared" si="133"/>
        <v>39413.654488259541</v>
      </c>
      <c r="F473" s="188">
        <f t="shared" si="127"/>
        <v>25364.821687323572</v>
      </c>
      <c r="G473" s="188">
        <f t="shared" si="128"/>
        <v>-3411133.5267128912</v>
      </c>
      <c r="H473" s="188">
        <f>G474*J$2/12</f>
        <v>0</v>
      </c>
      <c r="I473" s="188">
        <f t="shared" si="124"/>
        <v>0</v>
      </c>
      <c r="J473" s="188">
        <f t="shared" si="125"/>
        <v>0</v>
      </c>
      <c r="K473" s="188">
        <f t="shared" si="130"/>
        <v>0</v>
      </c>
      <c r="L473" s="188">
        <f t="shared" si="131"/>
        <v>25364.821687323572</v>
      </c>
    </row>
    <row r="474" spans="1:12">
      <c r="A474" s="114">
        <v>39</v>
      </c>
      <c r="B474" s="182">
        <f t="shared" si="132"/>
        <v>468</v>
      </c>
      <c r="C474" s="188">
        <f t="shared" si="129"/>
        <v>-3411133.5267128912</v>
      </c>
      <c r="D474" s="188">
        <f t="shared" si="126"/>
        <v>-14213.056361303714</v>
      </c>
      <c r="E474" s="188">
        <f t="shared" si="133"/>
        <v>39577.878048627288</v>
      </c>
      <c r="F474" s="188">
        <f t="shared" si="127"/>
        <v>25364.821687323572</v>
      </c>
      <c r="G474" s="188">
        <f t="shared" si="128"/>
        <v>-3450711.4047615184</v>
      </c>
      <c r="H474" s="188">
        <f>G474*J$2/12</f>
        <v>0</v>
      </c>
      <c r="I474" s="188">
        <f t="shared" si="124"/>
        <v>0</v>
      </c>
      <c r="J474" s="188">
        <f t="shared" si="125"/>
        <v>0</v>
      </c>
      <c r="K474" s="188">
        <f t="shared" si="130"/>
        <v>0</v>
      </c>
      <c r="L474" s="188">
        <f t="shared" si="131"/>
        <v>25364.821687323572</v>
      </c>
    </row>
    <row r="475" spans="1:12">
      <c r="A475" s="114">
        <v>40</v>
      </c>
      <c r="B475" s="182">
        <f t="shared" si="132"/>
        <v>469</v>
      </c>
      <c r="C475" s="188">
        <f t="shared" si="129"/>
        <v>-3450711.4047615184</v>
      </c>
      <c r="D475" s="188">
        <f t="shared" si="126"/>
        <v>-14377.964186506326</v>
      </c>
      <c r="E475" s="188">
        <f t="shared" si="133"/>
        <v>39742.785873829896</v>
      </c>
      <c r="F475" s="188">
        <f t="shared" si="127"/>
        <v>25364.821687323572</v>
      </c>
      <c r="G475" s="188">
        <f t="shared" si="128"/>
        <v>-3490454.1906353482</v>
      </c>
      <c r="H475" s="188">
        <f>G486*J$2/12</f>
        <v>0</v>
      </c>
      <c r="I475" s="188">
        <f t="shared" si="124"/>
        <v>0</v>
      </c>
      <c r="J475" s="188">
        <f t="shared" si="125"/>
        <v>0</v>
      </c>
      <c r="K475" s="188">
        <f t="shared" si="130"/>
        <v>0</v>
      </c>
      <c r="L475" s="188">
        <f t="shared" si="131"/>
        <v>25364.821687323572</v>
      </c>
    </row>
    <row r="476" spans="1:12">
      <c r="A476" s="114">
        <v>40</v>
      </c>
      <c r="B476" s="182">
        <f t="shared" si="132"/>
        <v>470</v>
      </c>
      <c r="C476" s="188">
        <f t="shared" si="129"/>
        <v>-3490454.1906353482</v>
      </c>
      <c r="D476" s="188">
        <f t="shared" si="126"/>
        <v>-14543.559127647284</v>
      </c>
      <c r="E476" s="188">
        <f t="shared" si="133"/>
        <v>39908.380814970857</v>
      </c>
      <c r="F476" s="188">
        <f t="shared" si="127"/>
        <v>25364.821687323572</v>
      </c>
      <c r="G476" s="188">
        <f t="shared" si="128"/>
        <v>-3530362.5714503191</v>
      </c>
      <c r="H476" s="188">
        <f>G486*J$2/12</f>
        <v>0</v>
      </c>
      <c r="I476" s="188">
        <f t="shared" si="124"/>
        <v>0</v>
      </c>
      <c r="J476" s="188">
        <f t="shared" si="125"/>
        <v>0</v>
      </c>
      <c r="K476" s="188">
        <f t="shared" si="130"/>
        <v>0</v>
      </c>
      <c r="L476" s="188">
        <f t="shared" si="131"/>
        <v>25364.821687323572</v>
      </c>
    </row>
    <row r="477" spans="1:12">
      <c r="A477" s="114">
        <v>40</v>
      </c>
      <c r="B477" s="182">
        <f t="shared" si="132"/>
        <v>471</v>
      </c>
      <c r="C477" s="188">
        <f t="shared" si="129"/>
        <v>-3530362.5714503191</v>
      </c>
      <c r="D477" s="188">
        <f t="shared" si="126"/>
        <v>-14709.844047709665</v>
      </c>
      <c r="E477" s="188">
        <f t="shared" si="133"/>
        <v>40074.665735033239</v>
      </c>
      <c r="F477" s="188">
        <f t="shared" si="127"/>
        <v>25364.821687323572</v>
      </c>
      <c r="G477" s="188">
        <f t="shared" si="128"/>
        <v>-3570437.2371853525</v>
      </c>
      <c r="H477" s="188">
        <f>G486*J$2/12</f>
        <v>0</v>
      </c>
      <c r="I477" s="188">
        <f t="shared" si="124"/>
        <v>0</v>
      </c>
      <c r="J477" s="188">
        <f t="shared" si="125"/>
        <v>0</v>
      </c>
      <c r="K477" s="188">
        <f t="shared" si="130"/>
        <v>0</v>
      </c>
      <c r="L477" s="188">
        <f t="shared" si="131"/>
        <v>25364.821687323572</v>
      </c>
    </row>
    <row r="478" spans="1:12">
      <c r="A478" s="114">
        <v>40</v>
      </c>
      <c r="B478" s="182">
        <f t="shared" si="132"/>
        <v>472</v>
      </c>
      <c r="C478" s="188">
        <f t="shared" si="129"/>
        <v>-3570437.2371853525</v>
      </c>
      <c r="D478" s="188">
        <f t="shared" si="126"/>
        <v>-14876.821821605636</v>
      </c>
      <c r="E478" s="188">
        <f t="shared" si="133"/>
        <v>40241.643508929206</v>
      </c>
      <c r="F478" s="188">
        <f t="shared" si="127"/>
        <v>25364.821687323572</v>
      </c>
      <c r="G478" s="188">
        <f t="shared" si="128"/>
        <v>-3610678.8806942818</v>
      </c>
      <c r="H478" s="188">
        <f>G486*J$2/12</f>
        <v>0</v>
      </c>
      <c r="I478" s="188">
        <f t="shared" si="124"/>
        <v>0</v>
      </c>
      <c r="J478" s="188">
        <f t="shared" si="125"/>
        <v>0</v>
      </c>
      <c r="K478" s="188">
        <f t="shared" si="130"/>
        <v>0</v>
      </c>
      <c r="L478" s="188">
        <f t="shared" si="131"/>
        <v>25364.821687323572</v>
      </c>
    </row>
    <row r="479" spans="1:12">
      <c r="A479" s="114">
        <v>40</v>
      </c>
      <c r="B479" s="182">
        <f t="shared" si="132"/>
        <v>473</v>
      </c>
      <c r="C479" s="188">
        <f t="shared" si="129"/>
        <v>-3610678.8806942818</v>
      </c>
      <c r="D479" s="188">
        <f t="shared" si="126"/>
        <v>-15044.495336226175</v>
      </c>
      <c r="E479" s="188">
        <f t="shared" si="133"/>
        <v>40409.317023549745</v>
      </c>
      <c r="F479" s="188">
        <f t="shared" si="127"/>
        <v>25364.821687323572</v>
      </c>
      <c r="G479" s="188">
        <f t="shared" si="128"/>
        <v>-3651088.1977178315</v>
      </c>
      <c r="H479" s="188">
        <f>G486*J$2/12</f>
        <v>0</v>
      </c>
      <c r="I479" s="188">
        <f t="shared" ref="I479:I486" si="134">(($C$415*$I$4)/12)</f>
        <v>0</v>
      </c>
      <c r="J479" s="188">
        <f t="shared" ref="J479:J486" si="135">(($C$415*$J$4)/12)</f>
        <v>0</v>
      </c>
      <c r="K479" s="188">
        <f t="shared" si="130"/>
        <v>0</v>
      </c>
      <c r="L479" s="188">
        <f t="shared" si="131"/>
        <v>25364.821687323572</v>
      </c>
    </row>
    <row r="480" spans="1:12">
      <c r="A480" s="114">
        <v>40</v>
      </c>
      <c r="B480" s="182">
        <f t="shared" si="132"/>
        <v>474</v>
      </c>
      <c r="C480" s="188">
        <f t="shared" si="129"/>
        <v>-3651088.1977178315</v>
      </c>
      <c r="D480" s="188">
        <f t="shared" si="126"/>
        <v>-15212.867490490966</v>
      </c>
      <c r="E480" s="188">
        <f t="shared" si="133"/>
        <v>40577.689177814536</v>
      </c>
      <c r="F480" s="188">
        <f t="shared" si="127"/>
        <v>25364.821687323572</v>
      </c>
      <c r="G480" s="188">
        <f t="shared" si="128"/>
        <v>-3691665.8868956459</v>
      </c>
      <c r="H480" s="188">
        <f>G486*J$2/12</f>
        <v>0</v>
      </c>
      <c r="I480" s="188">
        <f t="shared" si="134"/>
        <v>0</v>
      </c>
      <c r="J480" s="188">
        <f t="shared" si="135"/>
        <v>0</v>
      </c>
      <c r="K480" s="188">
        <f t="shared" si="130"/>
        <v>0</v>
      </c>
      <c r="L480" s="188">
        <f t="shared" si="131"/>
        <v>25364.821687323572</v>
      </c>
    </row>
    <row r="481" spans="1:12">
      <c r="A481" s="114">
        <v>40</v>
      </c>
      <c r="B481" s="182">
        <f t="shared" si="132"/>
        <v>475</v>
      </c>
      <c r="C481" s="188">
        <f t="shared" si="129"/>
        <v>-3691665.8868956459</v>
      </c>
      <c r="D481" s="188">
        <f t="shared" si="126"/>
        <v>-15381.941195398525</v>
      </c>
      <c r="E481" s="188">
        <f t="shared" si="133"/>
        <v>40746.762882722098</v>
      </c>
      <c r="F481" s="188">
        <f t="shared" si="127"/>
        <v>25364.821687323572</v>
      </c>
      <c r="G481" s="188">
        <f t="shared" si="128"/>
        <v>-3732412.649778368</v>
      </c>
      <c r="H481" s="188">
        <f>G486*J$2/12</f>
        <v>0</v>
      </c>
      <c r="I481" s="188">
        <f t="shared" si="134"/>
        <v>0</v>
      </c>
      <c r="J481" s="188">
        <f t="shared" si="135"/>
        <v>0</v>
      </c>
      <c r="K481" s="188">
        <f t="shared" si="130"/>
        <v>0</v>
      </c>
      <c r="L481" s="188">
        <f t="shared" si="131"/>
        <v>25364.821687323572</v>
      </c>
    </row>
    <row r="482" spans="1:12">
      <c r="A482" s="114">
        <v>40</v>
      </c>
      <c r="B482" s="182">
        <f t="shared" si="132"/>
        <v>476</v>
      </c>
      <c r="C482" s="188">
        <f t="shared" si="129"/>
        <v>-3732412.649778368</v>
      </c>
      <c r="D482" s="188">
        <f t="shared" si="126"/>
        <v>-15551.719374076534</v>
      </c>
      <c r="E482" s="188">
        <f t="shared" si="133"/>
        <v>40916.541061400108</v>
      </c>
      <c r="F482" s="188">
        <f t="shared" si="127"/>
        <v>25364.821687323572</v>
      </c>
      <c r="G482" s="188">
        <f t="shared" si="128"/>
        <v>-3773329.1908397679</v>
      </c>
      <c r="H482" s="188">
        <f>G486*J$2/12</f>
        <v>0</v>
      </c>
      <c r="I482" s="188">
        <f t="shared" si="134"/>
        <v>0</v>
      </c>
      <c r="J482" s="188">
        <f t="shared" si="135"/>
        <v>0</v>
      </c>
      <c r="K482" s="188">
        <f t="shared" si="130"/>
        <v>0</v>
      </c>
      <c r="L482" s="188">
        <f t="shared" si="131"/>
        <v>25364.821687323572</v>
      </c>
    </row>
    <row r="483" spans="1:12">
      <c r="A483" s="114">
        <v>40</v>
      </c>
      <c r="B483" s="182">
        <f t="shared" si="132"/>
        <v>477</v>
      </c>
      <c r="C483" s="188">
        <f t="shared" si="129"/>
        <v>-3773329.1908397679</v>
      </c>
      <c r="D483" s="188">
        <f t="shared" si="126"/>
        <v>-15722.204961832367</v>
      </c>
      <c r="E483" s="188">
        <f t="shared" si="133"/>
        <v>41087.026649155938</v>
      </c>
      <c r="F483" s="188">
        <f t="shared" si="127"/>
        <v>25364.821687323572</v>
      </c>
      <c r="G483" s="188">
        <f t="shared" si="128"/>
        <v>-3814416.217488924</v>
      </c>
      <c r="H483" s="188">
        <f>G486*J$2/12</f>
        <v>0</v>
      </c>
      <c r="I483" s="188">
        <f t="shared" si="134"/>
        <v>0</v>
      </c>
      <c r="J483" s="188">
        <f t="shared" si="135"/>
        <v>0</v>
      </c>
      <c r="K483" s="188">
        <f t="shared" si="130"/>
        <v>0</v>
      </c>
      <c r="L483" s="188">
        <f t="shared" si="131"/>
        <v>25364.821687323572</v>
      </c>
    </row>
    <row r="484" spans="1:12">
      <c r="A484" s="114">
        <v>40</v>
      </c>
      <c r="B484" s="182">
        <f t="shared" si="132"/>
        <v>478</v>
      </c>
      <c r="C484" s="188">
        <f t="shared" si="129"/>
        <v>-3814416.217488924</v>
      </c>
      <c r="D484" s="188">
        <f t="shared" si="126"/>
        <v>-15893.400906203851</v>
      </c>
      <c r="E484" s="188">
        <f t="shared" si="133"/>
        <v>41258.222593527425</v>
      </c>
      <c r="F484" s="188">
        <f t="shared" si="127"/>
        <v>25364.821687323572</v>
      </c>
      <c r="G484" s="188">
        <f t="shared" si="128"/>
        <v>-3855674.4400824513</v>
      </c>
      <c r="H484" s="188">
        <f>G486*J$2/12</f>
        <v>0</v>
      </c>
      <c r="I484" s="188">
        <f t="shared" si="134"/>
        <v>0</v>
      </c>
      <c r="J484" s="188">
        <f t="shared" si="135"/>
        <v>0</v>
      </c>
      <c r="K484" s="188">
        <f t="shared" si="130"/>
        <v>0</v>
      </c>
      <c r="L484" s="188">
        <f t="shared" si="131"/>
        <v>25364.821687323572</v>
      </c>
    </row>
    <row r="485" spans="1:12">
      <c r="A485" s="114">
        <v>40</v>
      </c>
      <c r="B485" s="182">
        <f t="shared" si="132"/>
        <v>479</v>
      </c>
      <c r="C485" s="188">
        <f t="shared" si="129"/>
        <v>-3855674.4400824513</v>
      </c>
      <c r="D485" s="188">
        <f t="shared" si="126"/>
        <v>-16065.310167010213</v>
      </c>
      <c r="E485" s="188">
        <f t="shared" si="133"/>
        <v>41430.131854333784</v>
      </c>
      <c r="F485" s="188">
        <f t="shared" si="127"/>
        <v>25364.821687323572</v>
      </c>
      <c r="G485" s="188">
        <f t="shared" si="128"/>
        <v>-3897104.5719367852</v>
      </c>
      <c r="H485" s="188">
        <f>G486*J$2/12</f>
        <v>0</v>
      </c>
      <c r="I485" s="188">
        <f t="shared" si="134"/>
        <v>0</v>
      </c>
      <c r="J485" s="188">
        <f t="shared" si="135"/>
        <v>0</v>
      </c>
      <c r="K485" s="188">
        <f t="shared" si="130"/>
        <v>0</v>
      </c>
      <c r="L485" s="188">
        <f t="shared" si="131"/>
        <v>25364.821687323572</v>
      </c>
    </row>
    <row r="486" spans="1:12">
      <c r="A486" s="114">
        <v>40</v>
      </c>
      <c r="B486" s="182">
        <f t="shared" si="132"/>
        <v>480</v>
      </c>
      <c r="C486" s="188">
        <f t="shared" si="129"/>
        <v>-3897104.5719367852</v>
      </c>
      <c r="D486" s="188">
        <f t="shared" si="126"/>
        <v>-16237.935716403272</v>
      </c>
      <c r="E486" s="188">
        <f t="shared" si="133"/>
        <v>41602.757403726842</v>
      </c>
      <c r="F486" s="188">
        <f t="shared" si="127"/>
        <v>25364.821687323572</v>
      </c>
      <c r="G486" s="188">
        <f t="shared" si="128"/>
        <v>-3938707.3293405119</v>
      </c>
      <c r="H486" s="188">
        <f>G486*J$2/12</f>
        <v>0</v>
      </c>
      <c r="I486" s="188">
        <f t="shared" si="134"/>
        <v>0</v>
      </c>
      <c r="J486" s="188">
        <f t="shared" si="135"/>
        <v>0</v>
      </c>
      <c r="K486" s="188">
        <f t="shared" si="130"/>
        <v>0</v>
      </c>
      <c r="L486" s="188">
        <f t="shared" si="131"/>
        <v>25364.821687323572</v>
      </c>
    </row>
  </sheetData>
  <pageMargins left="0.7" right="0.7" top="0.5" bottom="0.4" header="0.3" footer="0.3"/>
  <pageSetup scale="39" fitToHeight="4" orientation="portrait" r:id="rId1"/>
  <headerFooter alignWithMargins="0">
    <oddFooter>&amp;R&amp;10&amp;P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88A87-8FE5-45E6-B9DE-4B06063DB6E8}">
  <sheetPr published="0">
    <pageSetUpPr fitToPage="1"/>
  </sheetPr>
  <dimension ref="A1:AA63"/>
  <sheetViews>
    <sheetView showGridLines="0" view="pageBreakPreview" zoomScale="85" zoomScaleNormal="100" zoomScaleSheetLayoutView="85" workbookViewId="0">
      <selection activeCell="D35" sqref="D35"/>
    </sheetView>
  </sheetViews>
  <sheetFormatPr defaultRowHeight="15"/>
  <cols>
    <col min="1" max="1" width="9.6640625" bestFit="1" customWidth="1"/>
    <col min="2" max="2" width="19" customWidth="1"/>
    <col min="3" max="3" width="13.6640625" customWidth="1"/>
    <col min="4" max="4" width="12.5546875" style="500" customWidth="1"/>
    <col min="5" max="5" width="13" customWidth="1"/>
    <col min="6" max="6" width="14.0546875" customWidth="1"/>
    <col min="7" max="7" width="11.609375" customWidth="1"/>
    <col min="8" max="8" width="2.5546875" style="500" customWidth="1"/>
    <col min="9" max="9" width="11.83203125" customWidth="1"/>
    <col min="10" max="10" width="5.0546875" customWidth="1"/>
    <col min="11" max="11" width="11.0546875" customWidth="1"/>
  </cols>
  <sheetData>
    <row r="1" spans="1:11" s="44" customFormat="1" ht="17.649999999999999">
      <c r="A1" s="44" t="str">
        <f>'Sources and Use'!A1</f>
        <v>MDG Design and Construction</v>
      </c>
    </row>
    <row r="2" spans="1:11" s="44" customFormat="1" ht="17.649999999999999">
      <c r="A2" s="44" t="str">
        <f>'Sources and Use'!A2</f>
        <v>Virgin Islands: Piggy/Hamilton RAD</v>
      </c>
    </row>
    <row r="3" spans="1:11" s="46" customFormat="1" ht="18" thickBot="1">
      <c r="A3" s="46" t="str">
        <f>'Sources and Use'!A3</f>
        <v>4% LIHTC and FEMA/CDBG-DR</v>
      </c>
    </row>
    <row r="4" spans="1:11" s="48" customFormat="1">
      <c r="A4" s="48" t="s">
        <v>362</v>
      </c>
    </row>
    <row r="5" spans="1:11">
      <c r="E5" s="718">
        <v>0.5</v>
      </c>
    </row>
    <row r="6" spans="1:11">
      <c r="E6" s="379" t="s">
        <v>297</v>
      </c>
      <c r="K6" s="722"/>
    </row>
    <row r="7" spans="1:11" ht="39.4">
      <c r="C7" s="721" t="s">
        <v>366</v>
      </c>
      <c r="D7" s="721" t="s">
        <v>367</v>
      </c>
      <c r="E7" s="721" t="s">
        <v>256</v>
      </c>
      <c r="F7" s="721" t="s">
        <v>360</v>
      </c>
      <c r="G7" s="721" t="s">
        <v>361</v>
      </c>
      <c r="H7" s="716"/>
      <c r="I7" s="716" t="s">
        <v>107</v>
      </c>
    </row>
    <row r="8" spans="1:11">
      <c r="A8" s="717">
        <v>44196</v>
      </c>
      <c r="B8" s="715" t="s">
        <v>357</v>
      </c>
      <c r="C8" s="714">
        <f>'Sources and Use'!C37-'Sources and Use'!C9</f>
        <v>0</v>
      </c>
      <c r="D8" s="714"/>
      <c r="E8" s="714">
        <f>E5*('Sources and Use'!C43-'Sources and Use'!C18)</f>
        <v>250000</v>
      </c>
      <c r="F8" s="714"/>
      <c r="G8" s="714"/>
      <c r="H8"/>
      <c r="I8" s="714">
        <f>SUM(C8:G8)</f>
        <v>250000</v>
      </c>
      <c r="K8" s="713"/>
    </row>
    <row r="9" spans="1:11">
      <c r="A9" s="717">
        <f>EDATE(A8, 12)</f>
        <v>44561</v>
      </c>
      <c r="B9" s="715" t="s">
        <v>358</v>
      </c>
      <c r="C9" s="714"/>
      <c r="D9" s="714"/>
      <c r="E9" s="714"/>
      <c r="F9" s="714">
        <f>('Devel. Bud'!D41+'Devel. Bud'!D42)/2</f>
        <v>187500</v>
      </c>
      <c r="G9" s="714">
        <f>'Units &amp; Income'!B78</f>
        <v>132192</v>
      </c>
      <c r="H9"/>
      <c r="I9" s="714">
        <f t="shared" ref="I9:I26" si="0">SUM(C9:G9)</f>
        <v>319692</v>
      </c>
      <c r="K9" s="720"/>
    </row>
    <row r="10" spans="1:11">
      <c r="A10" s="717">
        <f>EDATE(A9, 12)</f>
        <v>44926</v>
      </c>
      <c r="B10" s="715" t="s">
        <v>359</v>
      </c>
      <c r="C10" s="714"/>
      <c r="D10" s="714"/>
      <c r="E10" s="714"/>
      <c r="F10" s="714">
        <f>F9</f>
        <v>187500</v>
      </c>
      <c r="G10" s="714">
        <f>'Units &amp; Income'!C78</f>
        <v>132192</v>
      </c>
      <c r="H10"/>
      <c r="I10" s="714">
        <f t="shared" si="0"/>
        <v>319692</v>
      </c>
      <c r="K10" s="720"/>
    </row>
    <row r="11" spans="1:11">
      <c r="A11" s="717">
        <f>EDATE(A8,'Cons Int &amp; Neg Arb'!B15)</f>
        <v>45107</v>
      </c>
      <c r="B11" s="715" t="s">
        <v>205</v>
      </c>
      <c r="C11" s="714">
        <f>'Sources and Use'!C9-'Sources and Use'!C24</f>
        <v>0</v>
      </c>
      <c r="D11" s="714"/>
      <c r="E11" s="714">
        <f ca="1">E5*('Sources and Use'!C18-'Sources and Use'!C32)</f>
        <v>1677004.6114732912</v>
      </c>
      <c r="F11" s="714"/>
      <c r="G11" s="714"/>
      <c r="H11"/>
      <c r="I11" s="714">
        <f t="shared" ca="1" si="0"/>
        <v>1677004.6114732912</v>
      </c>
      <c r="K11" s="720"/>
    </row>
    <row r="12" spans="1:11">
      <c r="A12" s="717">
        <f t="shared" ref="A12:A26" si="1">EDATE(A11, 12)</f>
        <v>45473</v>
      </c>
      <c r="B12" s="715">
        <v>1</v>
      </c>
      <c r="C12" s="714">
        <f>N49</f>
        <v>0</v>
      </c>
      <c r="D12" s="714">
        <f>O49</f>
        <v>0</v>
      </c>
      <c r="E12" s="714">
        <f>L49*$E$5</f>
        <v>62733.741279268608</v>
      </c>
      <c r="F12" s="714"/>
      <c r="G12" s="714">
        <f>'M&amp;O'!D22+'Devel. Bud'!B46+'Cash Flow'!F24</f>
        <v>142192</v>
      </c>
      <c r="H12"/>
      <c r="I12" s="714">
        <f t="shared" si="0"/>
        <v>204925.74127926861</v>
      </c>
      <c r="K12" s="720"/>
    </row>
    <row r="13" spans="1:11">
      <c r="A13" s="717">
        <f t="shared" si="1"/>
        <v>45838</v>
      </c>
      <c r="B13" s="715">
        <f>B12+1</f>
        <v>2</v>
      </c>
      <c r="C13" s="714">
        <f t="shared" ref="C13:D13" ca="1" si="2">N50</f>
        <v>0</v>
      </c>
      <c r="D13" s="714">
        <f t="shared" ca="1" si="2"/>
        <v>0</v>
      </c>
      <c r="E13" s="714">
        <f t="shared" ref="E13:E26" ca="1" si="3">L50*$E$5</f>
        <v>59563.628196964914</v>
      </c>
      <c r="F13" s="714"/>
      <c r="G13" s="714">
        <f>G12*(1+'Cash Flow'!$B$15)</f>
        <v>146457.76</v>
      </c>
      <c r="H13"/>
      <c r="I13" s="714">
        <f t="shared" ca="1" si="0"/>
        <v>206021.38819696492</v>
      </c>
      <c r="K13" s="720"/>
    </row>
    <row r="14" spans="1:11">
      <c r="A14" s="717">
        <f t="shared" si="1"/>
        <v>46203</v>
      </c>
      <c r="B14" s="715">
        <f t="shared" ref="B14:B26" si="4">B13+1</f>
        <v>3</v>
      </c>
      <c r="C14" s="714">
        <f t="shared" ref="C14:D14" ca="1" si="5">N51</f>
        <v>0</v>
      </c>
      <c r="D14" s="714">
        <f t="shared" ca="1" si="5"/>
        <v>0</v>
      </c>
      <c r="E14" s="714">
        <f t="shared" ca="1" si="3"/>
        <v>56091.055857704101</v>
      </c>
      <c r="F14" s="714"/>
      <c r="G14" s="714">
        <f>G13*(1+'Cash Flow'!$B$15)</f>
        <v>150851.49280000001</v>
      </c>
      <c r="H14"/>
      <c r="I14" s="714">
        <f t="shared" ca="1" si="0"/>
        <v>206942.54865770412</v>
      </c>
      <c r="K14" s="720"/>
    </row>
    <row r="15" spans="1:11">
      <c r="A15" s="717">
        <f t="shared" si="1"/>
        <v>46568</v>
      </c>
      <c r="B15" s="715">
        <f t="shared" si="4"/>
        <v>4</v>
      </c>
      <c r="C15" s="714">
        <f t="shared" ref="C15:D15" ca="1" si="6">N52</f>
        <v>0</v>
      </c>
      <c r="D15" s="714">
        <f t="shared" ca="1" si="6"/>
        <v>0</v>
      </c>
      <c r="E15" s="714">
        <f t="shared" ca="1" si="3"/>
        <v>52302.80336648778</v>
      </c>
      <c r="F15" s="714"/>
      <c r="G15" s="714">
        <f>G14*(1+'Cash Flow'!$B$15)</f>
        <v>155377.03758400001</v>
      </c>
      <c r="H15"/>
      <c r="I15" s="714">
        <f t="shared" ca="1" si="0"/>
        <v>207679.84095048779</v>
      </c>
      <c r="K15" s="720"/>
    </row>
    <row r="16" spans="1:11">
      <c r="A16" s="717">
        <f t="shared" si="1"/>
        <v>46934</v>
      </c>
      <c r="B16" s="715">
        <f t="shared" si="4"/>
        <v>5</v>
      </c>
      <c r="C16" s="714">
        <f t="shared" ref="C16:D16" ca="1" si="7">N53</f>
        <v>0</v>
      </c>
      <c r="D16" s="714">
        <f t="shared" ca="1" si="7"/>
        <v>0</v>
      </c>
      <c r="E16" s="714">
        <f t="shared" ca="1" si="3"/>
        <v>48185.17025912142</v>
      </c>
      <c r="F16" s="714"/>
      <c r="G16" s="714">
        <f>G15*(1+'Cash Flow'!$B$15)</f>
        <v>160038.34871152</v>
      </c>
      <c r="H16"/>
      <c r="I16" s="714">
        <f t="shared" ca="1" si="0"/>
        <v>208223.51897064142</v>
      </c>
      <c r="K16" s="720"/>
    </row>
    <row r="17" spans="1:11">
      <c r="A17" s="717">
        <f t="shared" si="1"/>
        <v>47299</v>
      </c>
      <c r="B17" s="715">
        <f t="shared" si="4"/>
        <v>6</v>
      </c>
      <c r="C17" s="714">
        <f t="shared" ref="C17:D17" ca="1" si="8">N54</f>
        <v>0</v>
      </c>
      <c r="D17" s="714">
        <f t="shared" ca="1" si="8"/>
        <v>0</v>
      </c>
      <c r="E17" s="714">
        <f t="shared" ca="1" si="3"/>
        <v>43723.960456292712</v>
      </c>
      <c r="F17" s="714"/>
      <c r="G17" s="714">
        <f>G16*(1+'Cash Flow'!$B$15)</f>
        <v>164839.49917286559</v>
      </c>
      <c r="H17"/>
      <c r="I17" s="714">
        <f t="shared" ca="1" si="0"/>
        <v>208563.45962915831</v>
      </c>
      <c r="K17" s="720"/>
    </row>
    <row r="18" spans="1:11">
      <c r="A18" s="717">
        <f t="shared" si="1"/>
        <v>47664</v>
      </c>
      <c r="B18" s="715">
        <f t="shared" si="4"/>
        <v>7</v>
      </c>
      <c r="C18" s="714">
        <f t="shared" ref="C18:D18" ca="1" si="9">N55</f>
        <v>0</v>
      </c>
      <c r="D18" s="714">
        <f t="shared" ca="1" si="9"/>
        <v>0</v>
      </c>
      <c r="E18" s="714">
        <f t="shared" ca="1" si="3"/>
        <v>38904.465703092574</v>
      </c>
      <c r="F18" s="714"/>
      <c r="G18" s="714">
        <f>G17*(1+'Cash Flow'!$B$15)</f>
        <v>169784.68414805157</v>
      </c>
      <c r="H18"/>
      <c r="I18" s="714">
        <f t="shared" ca="1" si="0"/>
        <v>208689.14985114415</v>
      </c>
      <c r="K18" s="720"/>
    </row>
    <row r="19" spans="1:11">
      <c r="A19" s="717">
        <f t="shared" si="1"/>
        <v>48029</v>
      </c>
      <c r="B19" s="715">
        <f t="shared" si="4"/>
        <v>8</v>
      </c>
      <c r="C19" s="714">
        <f t="shared" ref="C19:D19" ca="1" si="10">N56</f>
        <v>0</v>
      </c>
      <c r="D19" s="714">
        <f t="shared" ca="1" si="10"/>
        <v>0</v>
      </c>
      <c r="E19" s="714">
        <f t="shared" ca="1" si="3"/>
        <v>33711.448477884282</v>
      </c>
      <c r="F19" s="714"/>
      <c r="G19" s="714">
        <f>G18*(1+'Cash Flow'!$B$15)</f>
        <v>174878.22467249312</v>
      </c>
      <c r="H19"/>
      <c r="I19" s="714">
        <f t="shared" ca="1" si="0"/>
        <v>208589.67315037741</v>
      </c>
      <c r="K19" s="720"/>
    </row>
    <row r="20" spans="1:11">
      <c r="A20" s="717">
        <f t="shared" si="1"/>
        <v>48395</v>
      </c>
      <c r="B20" s="715">
        <f t="shared" si="4"/>
        <v>9</v>
      </c>
      <c r="C20" s="714">
        <f t="shared" ref="C20:D20" ca="1" si="11">N57</f>
        <v>0</v>
      </c>
      <c r="D20" s="714">
        <f t="shared" ca="1" si="11"/>
        <v>0</v>
      </c>
      <c r="E20" s="714">
        <f t="shared" ca="1" si="3"/>
        <v>28129.124353919662</v>
      </c>
      <c r="F20" s="714"/>
      <c r="G20" s="714">
        <f>G19*(1+'Cash Flow'!$B$15)</f>
        <v>180124.57141266792</v>
      </c>
      <c r="H20"/>
      <c r="I20" s="714">
        <f t="shared" ca="1" si="0"/>
        <v>208253.6957665876</v>
      </c>
      <c r="K20" s="720"/>
    </row>
    <row r="21" spans="1:11">
      <c r="A21" s="717">
        <f t="shared" si="1"/>
        <v>48760</v>
      </c>
      <c r="B21" s="715">
        <f t="shared" si="4"/>
        <v>10</v>
      </c>
      <c r="C21" s="714">
        <f t="shared" ref="C21:D21" ca="1" si="12">N58</f>
        <v>0</v>
      </c>
      <c r="D21" s="714">
        <f t="shared" ca="1" si="12"/>
        <v>0</v>
      </c>
      <c r="E21" s="714">
        <f t="shared" ca="1" si="3"/>
        <v>22141.143796595268</v>
      </c>
      <c r="F21" s="714"/>
      <c r="G21" s="714">
        <f>G20*(1+'Cash Flow'!$B$15)</f>
        <v>185528.30855504796</v>
      </c>
      <c r="H21"/>
      <c r="I21" s="714">
        <f t="shared" ca="1" si="0"/>
        <v>207669.45235164324</v>
      </c>
      <c r="K21" s="720"/>
    </row>
    <row r="22" spans="1:11">
      <c r="A22" s="717">
        <f t="shared" si="1"/>
        <v>49125</v>
      </c>
      <c r="B22" s="715">
        <f t="shared" si="4"/>
        <v>11</v>
      </c>
      <c r="C22" s="714">
        <f t="shared" ref="C22:D22" ca="1" si="13">N59</f>
        <v>0</v>
      </c>
      <c r="D22" s="714">
        <f t="shared" ca="1" si="13"/>
        <v>0</v>
      </c>
      <c r="E22" s="714">
        <f t="shared" ca="1" si="3"/>
        <v>40730.573378718131</v>
      </c>
      <c r="F22" s="714"/>
      <c r="G22" s="714">
        <f>G21*(1+'Cash Flow'!$B$15)</f>
        <v>191094.15781169941</v>
      </c>
      <c r="H22"/>
      <c r="I22" s="714">
        <f t="shared" ca="1" si="0"/>
        <v>231824.73119041754</v>
      </c>
      <c r="K22" s="720"/>
    </row>
    <row r="23" spans="1:11">
      <c r="A23" s="717">
        <f t="shared" si="1"/>
        <v>49490</v>
      </c>
      <c r="B23" s="715">
        <f t="shared" si="4"/>
        <v>12</v>
      </c>
      <c r="C23" s="714">
        <f t="shared" ref="C23:D23" ca="1" si="14">N60</f>
        <v>0</v>
      </c>
      <c r="D23" s="714">
        <f t="shared" ca="1" si="14"/>
        <v>0</v>
      </c>
      <c r="E23" s="714">
        <f t="shared" ca="1" si="3"/>
        <v>33879.876395594925</v>
      </c>
      <c r="F23" s="714"/>
      <c r="G23" s="714">
        <f>G22*(1+'Cash Flow'!$B$15)</f>
        <v>196826.98254605039</v>
      </c>
      <c r="H23"/>
      <c r="I23" s="714">
        <f t="shared" ca="1" si="0"/>
        <v>230706.8589416453</v>
      </c>
      <c r="K23" s="720"/>
    </row>
    <row r="24" spans="1:11">
      <c r="A24" s="717">
        <f t="shared" si="1"/>
        <v>49856</v>
      </c>
      <c r="B24" s="715">
        <f t="shared" si="4"/>
        <v>13</v>
      </c>
      <c r="C24" s="714">
        <f t="shared" ref="C24:D24" ca="1" si="15">N61</f>
        <v>0</v>
      </c>
      <c r="D24" s="714">
        <f t="shared" ca="1" si="15"/>
        <v>0</v>
      </c>
      <c r="E24" s="714">
        <f t="shared" ca="1" si="3"/>
        <v>26570.892861213877</v>
      </c>
      <c r="F24" s="714"/>
      <c r="G24" s="714">
        <f>G23*(1+'Cash Flow'!$B$15)</f>
        <v>202731.79202243191</v>
      </c>
      <c r="H24"/>
      <c r="I24" s="714">
        <f t="shared" ca="1" si="0"/>
        <v>229302.68488364579</v>
      </c>
      <c r="K24" s="720"/>
    </row>
    <row r="25" spans="1:11">
      <c r="A25" s="717">
        <f t="shared" si="1"/>
        <v>50221</v>
      </c>
      <c r="B25" s="715">
        <f t="shared" si="4"/>
        <v>14</v>
      </c>
      <c r="C25" s="714">
        <f t="shared" ref="C25:D25" ca="1" si="16">N62</f>
        <v>0</v>
      </c>
      <c r="D25" s="714">
        <f t="shared" ca="1" si="16"/>
        <v>0</v>
      </c>
      <c r="E25" s="714">
        <f t="shared" ca="1" si="3"/>
        <v>18784.818866201866</v>
      </c>
      <c r="F25" s="714"/>
      <c r="G25" s="714">
        <f>G24*(1+'Cash Flow'!$B$15)</f>
        <v>208813.74578310488</v>
      </c>
      <c r="H25"/>
      <c r="I25" s="714">
        <f t="shared" ca="1" si="0"/>
        <v>227598.56464930676</v>
      </c>
      <c r="K25" s="720"/>
    </row>
    <row r="26" spans="1:11">
      <c r="A26" s="717">
        <f t="shared" si="1"/>
        <v>50586</v>
      </c>
      <c r="B26" s="715">
        <f t="shared" si="4"/>
        <v>15</v>
      </c>
      <c r="C26" s="714">
        <f t="shared" ref="C26:D26" ca="1" si="17">N63</f>
        <v>5919.0000000000873</v>
      </c>
      <c r="D26" s="714">
        <f t="shared" ca="1" si="17"/>
        <v>1479.7500000000218</v>
      </c>
      <c r="E26" s="714">
        <f t="shared" ca="1" si="3"/>
        <v>7542.6852776488522</v>
      </c>
      <c r="F26" s="714"/>
      <c r="G26" s="714">
        <f>G25*(1+'Cash Flow'!$B$15)</f>
        <v>215078.15815659805</v>
      </c>
      <c r="H26"/>
      <c r="I26" s="714">
        <f t="shared" ca="1" si="0"/>
        <v>230019.59343424701</v>
      </c>
      <c r="K26" s="720"/>
    </row>
    <row r="27" spans="1:11">
      <c r="B27" s="500"/>
      <c r="H27"/>
    </row>
    <row r="28" spans="1:11">
      <c r="B28" s="8" t="s">
        <v>365</v>
      </c>
      <c r="C28" s="714">
        <f ca="1">SUM(C8:C26)</f>
        <v>5919.0000000000873</v>
      </c>
      <c r="D28" s="714">
        <f ca="1">SUM(D8:D26)</f>
        <v>1479.7500000000218</v>
      </c>
      <c r="E28" s="714">
        <f ca="1">SUM(E8:E26)</f>
        <v>2499999.9999999995</v>
      </c>
      <c r="F28" s="714">
        <f>SUM(F8:F26)</f>
        <v>375000</v>
      </c>
      <c r="G28" s="714">
        <f>SUM(G8:G26)</f>
        <v>2909000.7633765307</v>
      </c>
      <c r="H28"/>
      <c r="I28" s="714">
        <f ca="1">SUM(I8:I26)</f>
        <v>5791399.5133765331</v>
      </c>
    </row>
    <row r="29" spans="1:11">
      <c r="B29" s="500"/>
    </row>
    <row r="30" spans="1:11">
      <c r="B30" s="500"/>
    </row>
    <row r="42" spans="11:27">
      <c r="K42" s="8" t="s">
        <v>364</v>
      </c>
      <c r="L42" s="16" t="s">
        <v>363</v>
      </c>
      <c r="M42" s="16" t="s">
        <v>363</v>
      </c>
      <c r="N42" s="16" t="s">
        <v>363</v>
      </c>
      <c r="O42" s="16" t="s">
        <v>363</v>
      </c>
      <c r="P42" s="16" t="s">
        <v>363</v>
      </c>
      <c r="Q42" s="16" t="s">
        <v>363</v>
      </c>
      <c r="R42" s="16" t="s">
        <v>363</v>
      </c>
      <c r="S42" s="16" t="s">
        <v>363</v>
      </c>
      <c r="T42" s="16" t="s">
        <v>363</v>
      </c>
      <c r="U42" s="16" t="s">
        <v>363</v>
      </c>
      <c r="V42" s="16" t="s">
        <v>363</v>
      </c>
      <c r="W42" s="16" t="s">
        <v>363</v>
      </c>
      <c r="X42" s="16" t="s">
        <v>363</v>
      </c>
      <c r="Y42" s="16" t="s">
        <v>363</v>
      </c>
      <c r="Z42" s="16" t="s">
        <v>363</v>
      </c>
      <c r="AA42" s="16" t="s">
        <v>363</v>
      </c>
    </row>
    <row r="44" spans="11:27">
      <c r="K44" s="8" t="s">
        <v>368</v>
      </c>
      <c r="L44" s="16" t="s">
        <v>369</v>
      </c>
      <c r="M44" s="16" t="s">
        <v>369</v>
      </c>
      <c r="N44" s="16" t="s">
        <v>369</v>
      </c>
      <c r="O44" s="16" t="s">
        <v>369</v>
      </c>
      <c r="P44" s="16" t="s">
        <v>369</v>
      </c>
      <c r="Q44" s="16" t="s">
        <v>369</v>
      </c>
      <c r="R44" s="16" t="s">
        <v>369</v>
      </c>
      <c r="S44" s="16" t="s">
        <v>369</v>
      </c>
      <c r="T44" s="16" t="s">
        <v>369</v>
      </c>
      <c r="U44" s="16" t="s">
        <v>369</v>
      </c>
      <c r="V44" s="16" t="s">
        <v>369</v>
      </c>
      <c r="W44" s="16" t="s">
        <v>369</v>
      </c>
      <c r="X44" s="16" t="s">
        <v>369</v>
      </c>
      <c r="Y44" s="16" t="s">
        <v>369</v>
      </c>
      <c r="Z44" s="16" t="s">
        <v>369</v>
      </c>
      <c r="AA44" s="16" t="s">
        <v>369</v>
      </c>
    </row>
    <row r="45" spans="11:27" s="500" customFormat="1">
      <c r="K45" s="8" t="s">
        <v>347</v>
      </c>
      <c r="L45" s="719" t="s">
        <v>370</v>
      </c>
      <c r="M45" s="719" t="s">
        <v>371</v>
      </c>
      <c r="N45" s="719" t="s">
        <v>372</v>
      </c>
      <c r="O45" s="719" t="s">
        <v>373</v>
      </c>
      <c r="P45" s="719" t="s">
        <v>374</v>
      </c>
      <c r="Q45" s="719" t="s">
        <v>375</v>
      </c>
      <c r="R45" s="719" t="s">
        <v>376</v>
      </c>
      <c r="S45" s="719" t="s">
        <v>377</v>
      </c>
      <c r="T45" s="719" t="s">
        <v>378</v>
      </c>
      <c r="U45" s="719" t="s">
        <v>379</v>
      </c>
      <c r="V45" s="719" t="s">
        <v>380</v>
      </c>
      <c r="W45" s="719" t="s">
        <v>381</v>
      </c>
      <c r="X45" s="719" t="s">
        <v>382</v>
      </c>
      <c r="Y45" s="719" t="s">
        <v>383</v>
      </c>
      <c r="Z45" s="719" t="s">
        <v>384</v>
      </c>
    </row>
    <row r="46" spans="11:27" s="500" customFormat="1">
      <c r="K46" s="8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719"/>
      <c r="Y46" s="719"/>
      <c r="Z46" s="719"/>
    </row>
    <row r="47" spans="11:27" s="500" customFormat="1">
      <c r="K47" s="8"/>
      <c r="L47" s="719"/>
      <c r="M47" s="719"/>
      <c r="N47" s="719"/>
      <c r="O47" s="719"/>
      <c r="P47" s="719"/>
      <c r="Q47" s="719"/>
      <c r="R47" s="719"/>
      <c r="S47" s="719"/>
      <c r="T47" s="719"/>
      <c r="U47" s="719"/>
      <c r="V47" s="719"/>
      <c r="W47" s="719"/>
      <c r="X47" s="719"/>
      <c r="Y47" s="719"/>
      <c r="Z47" s="719"/>
    </row>
    <row r="48" spans="11:27">
      <c r="L48" s="8" t="str">
        <f>K42</f>
        <v>DF</v>
      </c>
      <c r="N48" s="8" t="str">
        <f>K44</f>
        <v>Seller</v>
      </c>
      <c r="O48" t="str">
        <f>K45</f>
        <v>Subsidy</v>
      </c>
    </row>
    <row r="49" spans="12:15">
      <c r="L49" s="719">
        <f>'Cash Flow'!F44</f>
        <v>125467.48255853722</v>
      </c>
      <c r="N49" s="719">
        <f>'Cash Flow'!F46</f>
        <v>0</v>
      </c>
      <c r="O49" s="719">
        <f>'Cash Flow'!F50</f>
        <v>0</v>
      </c>
    </row>
    <row r="50" spans="12:15">
      <c r="L50" s="719">
        <f ca="1">'Cash Flow'!G44</f>
        <v>119127.25639392983</v>
      </c>
      <c r="N50" s="719">
        <f ca="1">'Cash Flow'!G46</f>
        <v>0</v>
      </c>
      <c r="O50" s="719">
        <f ca="1">'Cash Flow'!G50</f>
        <v>0</v>
      </c>
    </row>
    <row r="51" spans="12:15">
      <c r="L51" s="719">
        <f ca="1">'Cash Flow'!H44</f>
        <v>112182.1117154082</v>
      </c>
      <c r="N51" s="719">
        <f ca="1">'Cash Flow'!H46</f>
        <v>0</v>
      </c>
      <c r="O51" s="719">
        <f ca="1">'Cash Flow'!H50</f>
        <v>0</v>
      </c>
    </row>
    <row r="52" spans="12:15">
      <c r="L52" s="719">
        <f ca="1">'Cash Flow'!I44</f>
        <v>104605.60673297556</v>
      </c>
      <c r="N52" s="719">
        <f ca="1">'Cash Flow'!I46</f>
        <v>0</v>
      </c>
      <c r="O52" s="719">
        <f ca="1">'Cash Flow'!I50</f>
        <v>0</v>
      </c>
    </row>
    <row r="53" spans="12:15">
      <c r="L53" s="719">
        <f ca="1">'Cash Flow'!J44</f>
        <v>96370.34051824284</v>
      </c>
      <c r="N53" s="719">
        <f ca="1">'Cash Flow'!J46</f>
        <v>0</v>
      </c>
      <c r="O53" s="719">
        <f ca="1">'Cash Flow'!J50</f>
        <v>0</v>
      </c>
    </row>
    <row r="54" spans="12:15">
      <c r="L54" s="719">
        <f ca="1">'Cash Flow'!K44</f>
        <v>87447.920912585425</v>
      </c>
      <c r="N54" s="719">
        <f ca="1">'Cash Flow'!K46</f>
        <v>0</v>
      </c>
      <c r="O54" s="719">
        <f ca="1">'Cash Flow'!K50</f>
        <v>0</v>
      </c>
    </row>
    <row r="55" spans="12:15">
      <c r="L55" s="719">
        <f ca="1">'Cash Flow'!L44</f>
        <v>77808.931406185147</v>
      </c>
      <c r="N55" s="719">
        <f ca="1">'Cash Flow'!L46</f>
        <v>0</v>
      </c>
      <c r="O55" s="719">
        <f ca="1">'Cash Flow'!L50</f>
        <v>0</v>
      </c>
    </row>
    <row r="56" spans="12:15">
      <c r="L56" s="719">
        <f ca="1">'Cash Flow'!M44</f>
        <v>67422.896955768563</v>
      </c>
      <c r="N56" s="719">
        <f ca="1">'Cash Flow'!M46</f>
        <v>0</v>
      </c>
      <c r="O56" s="719">
        <f ca="1">'Cash Flow'!M50</f>
        <v>0</v>
      </c>
    </row>
    <row r="57" spans="12:15">
      <c r="L57" s="719">
        <f ca="1">'Cash Flow'!N44</f>
        <v>56258.248707839324</v>
      </c>
      <c r="N57" s="719">
        <f ca="1">'Cash Flow'!N46</f>
        <v>0</v>
      </c>
      <c r="O57" s="719">
        <f ca="1">'Cash Flow'!N50</f>
        <v>0</v>
      </c>
    </row>
    <row r="58" spans="12:15">
      <c r="L58" s="719">
        <f ca="1">'Cash Flow'!O44</f>
        <v>44282.287593190536</v>
      </c>
      <c r="N58" s="719">
        <f ca="1">'Cash Flow'!O46</f>
        <v>0</v>
      </c>
      <c r="O58" s="719">
        <f ca="1">'Cash Flow'!O50</f>
        <v>0</v>
      </c>
    </row>
    <row r="59" spans="12:15">
      <c r="L59" s="719">
        <f ca="1">'Cash Flow'!P44</f>
        <v>81461.146757436261</v>
      </c>
      <c r="N59" s="719">
        <f ca="1">'Cash Flow'!P46</f>
        <v>0</v>
      </c>
      <c r="O59" s="719">
        <f ca="1">'Cash Flow'!P50</f>
        <v>0</v>
      </c>
    </row>
    <row r="60" spans="12:15">
      <c r="L60" s="719">
        <f ca="1">'Cash Flow'!Q44</f>
        <v>67759.752791189851</v>
      </c>
      <c r="N60" s="719">
        <f ca="1">'Cash Flow'!Q46</f>
        <v>0</v>
      </c>
      <c r="O60" s="719">
        <f ca="1">'Cash Flow'!Q50</f>
        <v>0</v>
      </c>
    </row>
    <row r="61" spans="12:15">
      <c r="L61" s="719">
        <f ca="1">'Cash Flow'!R44</f>
        <v>53141.785722427754</v>
      </c>
      <c r="N61" s="719">
        <f ca="1">'Cash Flow'!R46</f>
        <v>0</v>
      </c>
      <c r="O61" s="719">
        <f ca="1">'Cash Flow'!R50</f>
        <v>0</v>
      </c>
    </row>
    <row r="62" spans="12:15">
      <c r="L62" s="719">
        <f ca="1">'Cash Flow'!S44</f>
        <v>37569.637732403731</v>
      </c>
      <c r="N62" s="719">
        <f ca="1">'Cash Flow'!S46</f>
        <v>0</v>
      </c>
      <c r="O62" s="719">
        <f ca="1">'Cash Flow'!S50</f>
        <v>0</v>
      </c>
    </row>
    <row r="63" spans="12:15">
      <c r="L63" s="719">
        <f ca="1">'Cash Flow'!T44</f>
        <v>15085.370555297704</v>
      </c>
      <c r="N63" s="719">
        <f ca="1">'Cash Flow'!T46</f>
        <v>5919.0000000000873</v>
      </c>
      <c r="O63" s="719">
        <f ca="1">'Cash Flow'!T50</f>
        <v>1479.7500000000218</v>
      </c>
    </row>
  </sheetData>
  <pageMargins left="0.7" right="0.7" top="0.75" bottom="0.75" header="0.3" footer="0.3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published="0" codeName="Sheet2">
    <pageSetUpPr fitToPage="1"/>
  </sheetPr>
  <dimension ref="A1:M102"/>
  <sheetViews>
    <sheetView showGridLines="0" view="pageBreakPreview" zoomScaleSheetLayoutView="100" workbookViewId="0">
      <pane ySplit="7" topLeftCell="A8" activePane="bottomLeft" state="frozen"/>
      <selection activeCell="C19" sqref="C19"/>
      <selection pane="bottomLeft" activeCell="A22" sqref="A22"/>
    </sheetView>
  </sheetViews>
  <sheetFormatPr defaultColWidth="10.27734375" defaultRowHeight="13.5"/>
  <cols>
    <col min="1" max="1" width="41" style="17" bestFit="1" customWidth="1"/>
    <col min="2" max="2" width="7.77734375" style="17" bestFit="1" customWidth="1"/>
    <col min="3" max="3" width="14.6640625" style="17" customWidth="1"/>
    <col min="4" max="6" width="13" style="18" customWidth="1"/>
    <col min="7" max="7" width="12.5" style="17" customWidth="1"/>
    <col min="8" max="8" width="15.0546875" style="17" hidden="1" customWidth="1"/>
    <col min="9" max="9" width="7.21875" style="17" hidden="1" customWidth="1"/>
    <col min="10" max="10" width="0" style="17" hidden="1" customWidth="1"/>
    <col min="11" max="11" width="12.5546875" style="17" hidden="1" customWidth="1"/>
    <col min="12" max="12" width="12.6640625" style="17" hidden="1" customWidth="1"/>
    <col min="13" max="13" width="10.77734375" style="17" hidden="1" customWidth="1"/>
    <col min="14" max="15" width="0" style="17" hidden="1" customWidth="1"/>
    <col min="16" max="16384" width="10.27734375" style="17"/>
  </cols>
  <sheetData>
    <row r="1" spans="1:11" ht="16.5" customHeight="1">
      <c r="A1" s="44" t="str">
        <f>'Sources and Use'!A1</f>
        <v>MDG Design and Construction</v>
      </c>
      <c r="B1" s="44"/>
      <c r="C1" s="44"/>
      <c r="D1" s="44"/>
      <c r="E1" s="44"/>
      <c r="F1" s="44"/>
      <c r="G1" s="44"/>
      <c r="H1" s="19"/>
      <c r="I1" s="19"/>
      <c r="J1" s="19"/>
      <c r="K1" s="19"/>
    </row>
    <row r="2" spans="1:11" ht="16.5" customHeight="1">
      <c r="A2" s="44" t="str">
        <f>'Sources and Use'!A2</f>
        <v>Virgin Islands: Piggy/Hamilton RAD</v>
      </c>
      <c r="B2" s="44"/>
      <c r="C2" s="44"/>
      <c r="D2" s="44"/>
      <c r="E2" s="44"/>
      <c r="F2" s="44"/>
      <c r="G2" s="44"/>
      <c r="H2" s="19"/>
      <c r="I2" s="19"/>
      <c r="J2" s="19"/>
      <c r="K2" s="19"/>
    </row>
    <row r="3" spans="1:11" ht="18" thickBot="1">
      <c r="A3" s="46" t="str">
        <f>'Sources and Use'!A3</f>
        <v>4% LIHTC and FEMA/CDBG-DR</v>
      </c>
      <c r="B3" s="46"/>
      <c r="C3" s="46"/>
      <c r="D3" s="147" t="s">
        <v>75</v>
      </c>
      <c r="E3" s="147">
        <f>'Sources and Use'!$E$4</f>
        <v>136</v>
      </c>
      <c r="F3" s="147"/>
      <c r="G3" s="147"/>
      <c r="H3" s="19"/>
      <c r="I3" s="19"/>
      <c r="J3" s="19"/>
      <c r="K3" s="19"/>
    </row>
    <row r="4" spans="1:11" ht="15.75" customHeight="1">
      <c r="A4" s="48" t="s">
        <v>69</v>
      </c>
      <c r="B4" s="48"/>
      <c r="C4" s="48"/>
      <c r="D4" s="48"/>
      <c r="E4" s="48"/>
      <c r="F4" s="48"/>
      <c r="G4" s="48"/>
      <c r="H4" s="19"/>
      <c r="I4" s="19"/>
      <c r="J4" s="19"/>
      <c r="K4" s="19"/>
    </row>
    <row r="5" spans="1:11" s="21" customFormat="1" ht="15.75" customHeight="1">
      <c r="A5" s="198"/>
      <c r="B5" s="198"/>
      <c r="C5" s="198"/>
      <c r="D5" s="198"/>
      <c r="E5" s="198"/>
      <c r="F5" s="198"/>
      <c r="G5" s="60"/>
      <c r="H5" s="60" t="s">
        <v>192</v>
      </c>
      <c r="I5" s="598">
        <f>'Cons Int &amp; Neg Arb'!B13/'Cons Int &amp; Neg Arb'!B15</f>
        <v>0.8</v>
      </c>
      <c r="J5" s="60"/>
      <c r="K5" s="60"/>
    </row>
    <row r="6" spans="1:11" s="21" customFormat="1" ht="15.75" customHeight="1">
      <c r="A6" s="198"/>
      <c r="B6" s="198"/>
      <c r="C6" s="198"/>
      <c r="D6" s="198"/>
      <c r="E6" s="198"/>
      <c r="F6" s="198"/>
      <c r="G6" s="60"/>
      <c r="H6" s="60"/>
    </row>
    <row r="7" spans="1:11" ht="26.25">
      <c r="A7" s="357"/>
      <c r="B7" s="358"/>
      <c r="C7" s="358"/>
      <c r="D7" s="384" t="s">
        <v>74</v>
      </c>
      <c r="E7" s="384" t="s">
        <v>38</v>
      </c>
      <c r="F7" s="384" t="s">
        <v>324</v>
      </c>
      <c r="G7" s="613" t="s">
        <v>283</v>
      </c>
      <c r="H7" s="19"/>
    </row>
    <row r="8" spans="1:11" ht="13.9">
      <c r="A8" s="303" t="s">
        <v>82</v>
      </c>
      <c r="B8" s="345"/>
      <c r="C8" s="324"/>
      <c r="D8" s="754"/>
      <c r="E8" s="599"/>
      <c r="F8" s="668"/>
      <c r="G8" s="618"/>
      <c r="H8" s="19"/>
    </row>
    <row r="9" spans="1:11" ht="15">
      <c r="A9" s="302" t="s">
        <v>31</v>
      </c>
      <c r="B9" s="442">
        <f>D9/E3</f>
        <v>1838.2352941176471</v>
      </c>
      <c r="C9" s="324" t="s">
        <v>64</v>
      </c>
      <c r="D9" s="755">
        <f>2500000-D10</f>
        <v>250000</v>
      </c>
      <c r="E9" s="600"/>
      <c r="F9" s="669"/>
      <c r="G9" s="618"/>
      <c r="H9" s="660">
        <f>MAX(5000*E3,ROUND('Debt Sizing'!G30/5%-(50000*'Devel. Bud'!E3),-4))</f>
        <v>3440000</v>
      </c>
      <c r="I9" s="8"/>
    </row>
    <row r="10" spans="1:11" ht="15">
      <c r="A10" s="298" t="s">
        <v>32</v>
      </c>
      <c r="B10" s="442">
        <f>D10/E3</f>
        <v>16544.117647058825</v>
      </c>
      <c r="C10" s="324" t="s">
        <v>64</v>
      </c>
      <c r="D10" s="755">
        <f>2500000*0.9</f>
        <v>2250000</v>
      </c>
      <c r="E10" s="600">
        <f>D10</f>
        <v>2250000</v>
      </c>
      <c r="F10" s="669"/>
      <c r="G10" s="662"/>
      <c r="H10" s="8">
        <v>10571878</v>
      </c>
      <c r="I10" s="67"/>
    </row>
    <row r="11" spans="1:11" ht="15">
      <c r="A11" s="298" t="s">
        <v>239</v>
      </c>
      <c r="B11" s="442">
        <f>D11/totalunits</f>
        <v>0</v>
      </c>
      <c r="C11" s="324" t="s">
        <v>64</v>
      </c>
      <c r="D11" s="755"/>
      <c r="E11" s="600"/>
      <c r="F11" s="669"/>
      <c r="G11" s="618"/>
      <c r="H11" s="661">
        <f>H9*0.8</f>
        <v>2752000</v>
      </c>
      <c r="I11" s="465"/>
    </row>
    <row r="12" spans="1:11" ht="15">
      <c r="A12" s="299" t="s">
        <v>34</v>
      </c>
      <c r="B12" s="325">
        <f>D12/totalunits</f>
        <v>18382.352941176472</v>
      </c>
      <c r="C12" s="326" t="s">
        <v>64</v>
      </c>
      <c r="D12" s="756">
        <f>SUM(D9:D11)</f>
        <v>2500000</v>
      </c>
      <c r="E12" s="601">
        <f>SUM(E9:E11)</f>
        <v>2250000</v>
      </c>
      <c r="F12" s="670"/>
      <c r="G12" s="833"/>
      <c r="H12" s="661">
        <f>H9-H11</f>
        <v>688000</v>
      </c>
      <c r="I12" s="67"/>
    </row>
    <row r="13" spans="1:11">
      <c r="A13" s="215"/>
      <c r="B13" s="327"/>
      <c r="C13" s="328"/>
      <c r="D13" s="755"/>
      <c r="E13" s="600"/>
      <c r="F13" s="669"/>
      <c r="G13" s="618"/>
      <c r="I13" s="464"/>
    </row>
    <row r="14" spans="1:11" ht="13.9">
      <c r="A14" s="300" t="s">
        <v>83</v>
      </c>
      <c r="B14" s="329"/>
      <c r="C14" s="330"/>
      <c r="D14" s="755"/>
      <c r="E14" s="600"/>
      <c r="F14" s="669"/>
      <c r="G14" s="618"/>
      <c r="I14" s="464"/>
    </row>
    <row r="15" spans="1:11" s="502" customFormat="1">
      <c r="A15" s="298" t="s">
        <v>307</v>
      </c>
      <c r="B15" s="640"/>
      <c r="C15" s="641"/>
      <c r="D15" s="757">
        <v>0</v>
      </c>
      <c r="E15" s="639">
        <v>0</v>
      </c>
      <c r="F15" s="671"/>
      <c r="G15" s="618"/>
      <c r="I15" s="464"/>
    </row>
    <row r="16" spans="1:11">
      <c r="A16" s="301" t="s">
        <v>138</v>
      </c>
      <c r="B16" s="331"/>
      <c r="C16" s="84"/>
      <c r="D16" s="755"/>
      <c r="E16" s="600"/>
      <c r="F16" s="669"/>
      <c r="G16" s="618"/>
    </row>
    <row r="17" spans="1:13">
      <c r="A17" s="298" t="s">
        <v>183</v>
      </c>
      <c r="B17" s="327">
        <f>D17/E3</f>
        <v>152023.11029411765</v>
      </c>
      <c r="C17" s="324" t="s">
        <v>64</v>
      </c>
      <c r="D17" s="755">
        <v>20675143</v>
      </c>
      <c r="E17" s="600">
        <f>D17</f>
        <v>20675143</v>
      </c>
      <c r="F17" s="669"/>
      <c r="G17" s="618"/>
      <c r="H17" s="19"/>
    </row>
    <row r="18" spans="1:13">
      <c r="A18" s="302" t="s">
        <v>137</v>
      </c>
      <c r="B18" s="443">
        <v>0.1</v>
      </c>
      <c r="C18" s="332"/>
      <c r="D18" s="755">
        <f>ROUNDUP(D17*B18,0)</f>
        <v>2067515</v>
      </c>
      <c r="E18" s="600">
        <f>D18</f>
        <v>2067515</v>
      </c>
      <c r="F18" s="669"/>
      <c r="G18" s="618"/>
      <c r="H18" s="19"/>
    </row>
    <row r="19" spans="1:13" ht="13.9">
      <c r="A19" s="299" t="s">
        <v>139</v>
      </c>
      <c r="B19" s="333">
        <f t="shared" ref="B19" si="0">D19/totalunits</f>
        <v>167225.42647058822</v>
      </c>
      <c r="C19" s="334" t="s">
        <v>64</v>
      </c>
      <c r="D19" s="756">
        <f>SUM(D14:D18)</f>
        <v>22742658</v>
      </c>
      <c r="E19" s="601">
        <f>SUM(E17:E18)</f>
        <v>22742658</v>
      </c>
      <c r="F19" s="670"/>
      <c r="G19" s="618"/>
      <c r="H19" s="19"/>
    </row>
    <row r="20" spans="1:13">
      <c r="A20" s="215"/>
      <c r="B20" s="335"/>
      <c r="C20" s="328"/>
      <c r="D20" s="755"/>
      <c r="E20" s="600"/>
      <c r="F20" s="669"/>
      <c r="G20" s="618"/>
      <c r="H20" s="19"/>
      <c r="K20" s="502"/>
      <c r="L20" s="553"/>
    </row>
    <row r="21" spans="1:13" ht="13.9">
      <c r="A21" s="303" t="s">
        <v>84</v>
      </c>
      <c r="B21" s="336"/>
      <c r="C21" s="337"/>
      <c r="D21" s="758"/>
      <c r="E21" s="602"/>
      <c r="F21" s="672"/>
      <c r="G21" s="618"/>
      <c r="H21" s="19"/>
      <c r="I21" s="551"/>
      <c r="K21" s="552"/>
      <c r="L21" s="552"/>
      <c r="M21" s="552"/>
    </row>
    <row r="22" spans="1:13">
      <c r="A22" s="298" t="s">
        <v>305</v>
      </c>
      <c r="B22" s="338"/>
      <c r="C22" s="328"/>
      <c r="D22" s="759">
        <v>300000</v>
      </c>
      <c r="E22" s="603">
        <f>D22*0.5</f>
        <v>150000</v>
      </c>
      <c r="F22" s="673">
        <f>D22*0.5</f>
        <v>150000</v>
      </c>
      <c r="G22" s="618"/>
      <c r="H22" s="19"/>
      <c r="I22" s="551"/>
      <c r="K22" s="552"/>
      <c r="L22" s="552"/>
      <c r="M22" s="552"/>
    </row>
    <row r="23" spans="1:13">
      <c r="A23" s="302" t="s">
        <v>65</v>
      </c>
      <c r="B23" s="339">
        <f>D23/D19</f>
        <v>5.0565769401272269E-2</v>
      </c>
      <c r="C23" s="340" t="s">
        <v>119</v>
      </c>
      <c r="D23" s="759">
        <v>1150000</v>
      </c>
      <c r="E23" s="603">
        <f>D23</f>
        <v>1150000</v>
      </c>
      <c r="F23" s="673">
        <f>D23*0.75</f>
        <v>862500</v>
      </c>
      <c r="G23" s="618"/>
      <c r="H23" s="19"/>
      <c r="I23" s="552"/>
      <c r="J23" s="552"/>
      <c r="K23" s="552"/>
      <c r="L23" s="552"/>
      <c r="M23" s="552"/>
    </row>
    <row r="24" spans="1:13">
      <c r="A24" s="302" t="s">
        <v>308</v>
      </c>
      <c r="B24" s="339"/>
      <c r="C24" s="363"/>
      <c r="D24" s="759">
        <v>100000</v>
      </c>
      <c r="E24" s="603">
        <f>D24</f>
        <v>100000</v>
      </c>
      <c r="F24" s="673">
        <f>D24*1</f>
        <v>100000</v>
      </c>
      <c r="G24" s="618"/>
      <c r="H24" s="19"/>
    </row>
    <row r="25" spans="1:13" collapsed="1">
      <c r="A25" s="302" t="s">
        <v>209</v>
      </c>
      <c r="B25" s="364"/>
      <c r="C25" s="365"/>
      <c r="D25" s="759">
        <v>60000</v>
      </c>
      <c r="E25" s="603">
        <f>D25*0.5</f>
        <v>30000</v>
      </c>
      <c r="F25" s="673">
        <f>D25*0.5</f>
        <v>30000</v>
      </c>
      <c r="G25" s="618"/>
      <c r="H25" s="19"/>
    </row>
    <row r="26" spans="1:13">
      <c r="A26" s="302" t="s">
        <v>120</v>
      </c>
      <c r="B26" s="366"/>
      <c r="C26" s="365"/>
      <c r="D26" s="759">
        <v>100000</v>
      </c>
      <c r="E26" s="603">
        <f>D26</f>
        <v>100000</v>
      </c>
      <c r="F26" s="673">
        <f>D26*1</f>
        <v>100000</v>
      </c>
      <c r="G26" s="618"/>
      <c r="H26" s="19"/>
    </row>
    <row r="27" spans="1:13">
      <c r="A27" s="302" t="s">
        <v>85</v>
      </c>
      <c r="B27" s="366"/>
      <c r="C27" s="365"/>
      <c r="D27" s="759">
        <v>75000</v>
      </c>
      <c r="E27" s="603">
        <f>D27</f>
        <v>75000</v>
      </c>
      <c r="F27" s="673">
        <f t="shared" ref="F27:F31" si="1">D27*1</f>
        <v>75000</v>
      </c>
      <c r="G27" s="618"/>
      <c r="H27" s="19"/>
    </row>
    <row r="28" spans="1:13" collapsed="1">
      <c r="A28" s="302" t="s">
        <v>210</v>
      </c>
      <c r="B28" s="366"/>
      <c r="C28" s="467"/>
      <c r="D28" s="759">
        <v>75000</v>
      </c>
      <c r="E28" s="603">
        <f>D28</f>
        <v>75000</v>
      </c>
      <c r="F28" s="673">
        <f t="shared" si="1"/>
        <v>75000</v>
      </c>
      <c r="G28" s="618"/>
      <c r="H28" s="19"/>
    </row>
    <row r="29" spans="1:13">
      <c r="A29" s="302" t="s">
        <v>86</v>
      </c>
      <c r="B29" s="366"/>
      <c r="C29" s="365"/>
      <c r="D29" s="759">
        <v>47500</v>
      </c>
      <c r="E29" s="603">
        <f>D29</f>
        <v>47500</v>
      </c>
      <c r="F29" s="673">
        <f t="shared" si="1"/>
        <v>47500</v>
      </c>
      <c r="G29" s="618"/>
      <c r="H29" s="19"/>
    </row>
    <row r="30" spans="1:13" s="502" customFormat="1">
      <c r="A30" s="527" t="s">
        <v>334</v>
      </c>
      <c r="B30" s="691"/>
      <c r="C30" s="467"/>
      <c r="D30" s="760">
        <v>7500</v>
      </c>
      <c r="E30" s="603">
        <f>D30*0.5</f>
        <v>3750</v>
      </c>
      <c r="F30" s="673">
        <f t="shared" ref="F30" si="2">D30*1</f>
        <v>7500</v>
      </c>
      <c r="G30" s="618"/>
      <c r="H30" s="503"/>
    </row>
    <row r="31" spans="1:13" collapsed="1">
      <c r="A31" s="298" t="s">
        <v>81</v>
      </c>
      <c r="B31" s="364"/>
      <c r="C31" s="365"/>
      <c r="D31" s="759">
        <v>10000</v>
      </c>
      <c r="E31" s="603">
        <f>D31*0.5</f>
        <v>5000</v>
      </c>
      <c r="F31" s="673">
        <f t="shared" si="1"/>
        <v>10000</v>
      </c>
      <c r="G31" s="618"/>
      <c r="H31" s="19"/>
    </row>
    <row r="32" spans="1:13">
      <c r="A32" s="298" t="s">
        <v>171</v>
      </c>
      <c r="B32" s="367">
        <f ca="1">D32/SUM('Sources and Use'!C7:C9)</f>
        <v>9.8642533936651577E-3</v>
      </c>
      <c r="C32" s="365" t="s">
        <v>128</v>
      </c>
      <c r="D32" s="759">
        <f ca="1">'Cost Detail'!D13</f>
        <v>218000</v>
      </c>
      <c r="E32" s="603">
        <f ca="1">D32*0.75</f>
        <v>163500</v>
      </c>
      <c r="F32" s="673">
        <f ca="1">D32*0.2</f>
        <v>43600</v>
      </c>
      <c r="G32" s="618"/>
      <c r="H32" s="507"/>
    </row>
    <row r="33" spans="1:8" s="502" customFormat="1">
      <c r="A33" s="302" t="s">
        <v>284</v>
      </c>
      <c r="B33" s="444">
        <v>4.0000000000000001E-3</v>
      </c>
      <c r="C33" s="328" t="s">
        <v>135</v>
      </c>
      <c r="D33" s="761">
        <f>ROUNDUP(B33*D12,-3)</f>
        <v>10000</v>
      </c>
      <c r="E33" s="604"/>
      <c r="F33" s="675"/>
      <c r="G33" s="618"/>
      <c r="H33" s="503"/>
    </row>
    <row r="34" spans="1:8" collapsed="1">
      <c r="A34" s="298" t="s">
        <v>22</v>
      </c>
      <c r="B34" s="368"/>
      <c r="C34" s="365"/>
      <c r="D34" s="759">
        <v>75000</v>
      </c>
      <c r="E34" s="603">
        <f>D34</f>
        <v>75000</v>
      </c>
      <c r="F34" s="673">
        <f>D34*0.1</f>
        <v>7500</v>
      </c>
      <c r="G34" s="618"/>
      <c r="H34" s="19"/>
    </row>
    <row r="35" spans="1:8">
      <c r="A35" s="298" t="s">
        <v>23</v>
      </c>
      <c r="B35" s="339"/>
      <c r="C35" s="363"/>
      <c r="D35" s="759">
        <v>100000</v>
      </c>
      <c r="E35" s="603">
        <f>D35</f>
        <v>100000</v>
      </c>
      <c r="F35" s="673">
        <f>D35*1</f>
        <v>100000</v>
      </c>
      <c r="G35" s="618"/>
      <c r="H35" s="19"/>
    </row>
    <row r="36" spans="1:8">
      <c r="A36" s="298" t="s">
        <v>124</v>
      </c>
      <c r="B36" s="368"/>
      <c r="C36" s="365"/>
      <c r="D36" s="762">
        <v>25000</v>
      </c>
      <c r="E36" s="595">
        <v>0</v>
      </c>
      <c r="F36" s="673">
        <f>D36*1</f>
        <v>25000</v>
      </c>
      <c r="G36" s="618"/>
      <c r="H36" s="19"/>
    </row>
    <row r="37" spans="1:8" s="502" customFormat="1">
      <c r="A37" s="692" t="s">
        <v>336</v>
      </c>
      <c r="B37" s="686"/>
      <c r="C37" s="467"/>
      <c r="D37" s="760">
        <v>50000</v>
      </c>
      <c r="E37" s="657"/>
      <c r="F37" s="687"/>
      <c r="G37" s="618"/>
      <c r="H37" s="503"/>
    </row>
    <row r="38" spans="1:8" ht="13.9">
      <c r="A38" s="299" t="s">
        <v>123</v>
      </c>
      <c r="B38" s="341"/>
      <c r="C38" s="342"/>
      <c r="D38" s="756">
        <f ca="1">SUM(D22:D37)</f>
        <v>2403000</v>
      </c>
      <c r="E38" s="601">
        <f ca="1">SUM(E22:E37)</f>
        <v>2074750</v>
      </c>
      <c r="F38" s="670"/>
      <c r="G38" s="618"/>
      <c r="H38" s="19"/>
    </row>
    <row r="39" spans="1:8" s="502" customFormat="1" ht="13.9">
      <c r="A39" s="708"/>
      <c r="B39" s="709"/>
      <c r="C39" s="710"/>
      <c r="D39" s="763"/>
      <c r="E39" s="711"/>
      <c r="F39" s="712"/>
      <c r="G39" s="618"/>
      <c r="H39" s="503"/>
    </row>
    <row r="40" spans="1:8" s="502" customFormat="1" ht="13.9">
      <c r="A40" s="499" t="s">
        <v>353</v>
      </c>
      <c r="B40" s="709"/>
      <c r="C40" s="710"/>
      <c r="D40" s="763"/>
      <c r="E40" s="711"/>
      <c r="F40" s="712"/>
      <c r="G40" s="618"/>
      <c r="H40" s="503"/>
    </row>
    <row r="41" spans="1:8" s="502" customFormat="1">
      <c r="A41" s="685" t="s">
        <v>331</v>
      </c>
      <c r="B41" s="686"/>
      <c r="C41" s="467"/>
      <c r="D41" s="760">
        <v>125000</v>
      </c>
      <c r="E41" s="657"/>
      <c r="F41" s="687"/>
      <c r="G41" s="618"/>
      <c r="H41" s="503"/>
    </row>
    <row r="42" spans="1:8" s="502" customFormat="1">
      <c r="A42" s="685" t="s">
        <v>332</v>
      </c>
      <c r="B42" s="686"/>
      <c r="C42" s="467"/>
      <c r="D42" s="760">
        <v>250000</v>
      </c>
      <c r="E42" s="657">
        <v>0</v>
      </c>
      <c r="F42" s="687"/>
      <c r="G42" s="618"/>
      <c r="H42" s="503"/>
    </row>
    <row r="43" spans="1:8" s="502" customFormat="1">
      <c r="A43" s="692" t="s">
        <v>335</v>
      </c>
      <c r="B43" s="686"/>
      <c r="C43" s="467"/>
      <c r="D43" s="760">
        <v>100000</v>
      </c>
      <c r="E43" s="657"/>
      <c r="F43" s="687">
        <f>D43*0.7</f>
        <v>70000</v>
      </c>
      <c r="G43" s="618"/>
      <c r="H43" s="503"/>
    </row>
    <row r="44" spans="1:8" s="502" customFormat="1">
      <c r="A44" s="692" t="s">
        <v>479</v>
      </c>
      <c r="B44" s="686"/>
      <c r="C44" s="467"/>
      <c r="D44" s="760">
        <f>5000*'Cons Int &amp; Neg Arb'!B13</f>
        <v>120000</v>
      </c>
      <c r="E44" s="657"/>
      <c r="F44" s="687"/>
      <c r="G44" s="618"/>
      <c r="H44" s="503"/>
    </row>
    <row r="45" spans="1:8" s="502" customFormat="1">
      <c r="A45" s="692" t="s">
        <v>356</v>
      </c>
      <c r="B45" s="686"/>
      <c r="C45" s="467"/>
      <c r="D45" s="760">
        <v>0</v>
      </c>
      <c r="E45" s="657">
        <f>D45</f>
        <v>0</v>
      </c>
      <c r="F45" s="687"/>
      <c r="G45" s="618"/>
      <c r="H45" s="503"/>
    </row>
    <row r="46" spans="1:8" s="502" customFormat="1">
      <c r="A46" s="692" t="s">
        <v>401</v>
      </c>
      <c r="B46" s="686"/>
      <c r="C46" s="467"/>
      <c r="D46" s="760">
        <v>0</v>
      </c>
      <c r="E46" s="657">
        <v>0</v>
      </c>
      <c r="F46" s="687">
        <v>0</v>
      </c>
      <c r="G46" s="618"/>
      <c r="H46" s="503"/>
    </row>
    <row r="47" spans="1:8" s="502" customFormat="1">
      <c r="A47" s="692" t="s">
        <v>355</v>
      </c>
      <c r="B47" s="686"/>
      <c r="C47" s="467"/>
      <c r="D47" s="760">
        <v>5000</v>
      </c>
      <c r="E47" s="657">
        <v>0</v>
      </c>
      <c r="F47" s="687"/>
      <c r="G47" s="618"/>
      <c r="H47" s="503"/>
    </row>
    <row r="48" spans="1:8" s="502" customFormat="1" ht="13.9">
      <c r="A48" s="299" t="s">
        <v>354</v>
      </c>
      <c r="B48" s="341"/>
      <c r="C48" s="342"/>
      <c r="D48" s="756">
        <f>SUM(D41:D47)</f>
        <v>600000</v>
      </c>
      <c r="E48" s="601">
        <f>SUM(E41:E47)</f>
        <v>0</v>
      </c>
      <c r="F48" s="670"/>
      <c r="G48" s="618"/>
      <c r="H48" s="503"/>
    </row>
    <row r="49" spans="1:8">
      <c r="A49" s="215"/>
      <c r="B49" s="343"/>
      <c r="C49" s="84"/>
      <c r="D49" s="755"/>
      <c r="E49" s="600"/>
      <c r="F49" s="669"/>
      <c r="G49" s="618"/>
      <c r="H49" s="19"/>
    </row>
    <row r="50" spans="1:8" ht="13.9">
      <c r="A50" s="499" t="s">
        <v>72</v>
      </c>
      <c r="B50" s="498"/>
      <c r="C50" s="84"/>
      <c r="D50" s="764"/>
      <c r="E50" s="604"/>
      <c r="F50" s="674"/>
      <c r="G50" s="618"/>
      <c r="H50" s="19"/>
    </row>
    <row r="51" spans="1:8">
      <c r="A51" s="527" t="s">
        <v>616</v>
      </c>
      <c r="B51" s="444">
        <v>1.2500000000000001E-2</v>
      </c>
      <c r="C51" s="515" t="s">
        <v>495</v>
      </c>
      <c r="D51" s="761">
        <f ca="1">B51*'Sources and Use'!C7</f>
        <v>245000</v>
      </c>
      <c r="E51" s="596">
        <f ca="1">D51*$I$5</f>
        <v>196000</v>
      </c>
      <c r="F51" s="675"/>
      <c r="G51" s="618"/>
      <c r="H51" s="19"/>
    </row>
    <row r="52" spans="1:8" s="502" customFormat="1">
      <c r="A52" s="527" t="s">
        <v>614</v>
      </c>
      <c r="B52" s="1099">
        <v>1.2500000000000001E-2</v>
      </c>
      <c r="C52" s="515" t="s">
        <v>615</v>
      </c>
      <c r="D52" s="761">
        <f>B52*'Sources and Use'!C23+50000</f>
        <v>109062.5</v>
      </c>
      <c r="E52" s="596"/>
      <c r="F52" s="675"/>
      <c r="G52" s="618"/>
      <c r="H52" s="503"/>
    </row>
    <row r="53" spans="1:8" s="502" customFormat="1">
      <c r="A53" s="527" t="s">
        <v>496</v>
      </c>
      <c r="B53" s="444"/>
      <c r="C53" s="328"/>
      <c r="D53" s="761">
        <f>ROUND((350*'Cons Int &amp; Neg Arb'!B13), 0)</f>
        <v>8400</v>
      </c>
      <c r="E53" s="596">
        <f>D53*$I$5</f>
        <v>6720</v>
      </c>
      <c r="F53" s="675"/>
      <c r="G53" s="618"/>
      <c r="H53" s="503"/>
    </row>
    <row r="54" spans="1:8" ht="15">
      <c r="A54" s="527" t="s">
        <v>194</v>
      </c>
      <c r="B54" s="612"/>
      <c r="C54" s="328"/>
      <c r="D54" s="761">
        <v>50000</v>
      </c>
      <c r="E54" s="603">
        <f>D54*$I$5</f>
        <v>40000</v>
      </c>
      <c r="F54" s="675"/>
      <c r="G54" s="618"/>
      <c r="H54" s="19"/>
    </row>
    <row r="55" spans="1:8" s="502" customFormat="1">
      <c r="A55" s="527" t="s">
        <v>398</v>
      </c>
      <c r="B55" s="444">
        <v>2.2499999999999999E-2</v>
      </c>
      <c r="C55" s="468" t="s">
        <v>400</v>
      </c>
      <c r="D55" s="761">
        <f ca="1">ROUND(B55*('Tax Credits'!D18+'Tax Credits'!D27)+3500+750, 0)</f>
        <v>42808</v>
      </c>
      <c r="E55" s="657"/>
      <c r="F55" s="675"/>
      <c r="G55" s="618"/>
      <c r="H55" s="503"/>
    </row>
    <row r="56" spans="1:8">
      <c r="A56" s="527" t="s">
        <v>497</v>
      </c>
      <c r="B56" s="444">
        <v>1.2500000000000001E-2</v>
      </c>
      <c r="C56" s="328" t="s">
        <v>399</v>
      </c>
      <c r="D56" s="761">
        <f ca="1">B56*'Sources and Use'!C7</f>
        <v>245000</v>
      </c>
      <c r="E56" s="595"/>
      <c r="F56" s="675">
        <f ca="1">D56*50%</f>
        <v>122500</v>
      </c>
      <c r="G56" s="618"/>
      <c r="H56" s="19"/>
    </row>
    <row r="57" spans="1:8">
      <c r="A57" s="527" t="s">
        <v>498</v>
      </c>
      <c r="B57" s="444">
        <v>1.4999999999999999E-2</v>
      </c>
      <c r="C57" s="328" t="s">
        <v>399</v>
      </c>
      <c r="D57" s="761">
        <f ca="1">B57*'Sources and Use'!C7</f>
        <v>294000</v>
      </c>
      <c r="E57" s="595"/>
      <c r="F57" s="675"/>
      <c r="G57" s="618"/>
      <c r="H57" s="19"/>
    </row>
    <row r="58" spans="1:8" ht="15" hidden="1">
      <c r="A58" s="527"/>
      <c r="B58" s="612"/>
      <c r="C58" s="328"/>
      <c r="D58" s="761"/>
      <c r="E58" s="595"/>
      <c r="F58" s="675"/>
      <c r="G58" s="618"/>
      <c r="H58" s="19"/>
    </row>
    <row r="59" spans="1:8" s="502" customFormat="1" hidden="1">
      <c r="A59" s="527"/>
      <c r="B59" s="444"/>
      <c r="C59" s="328"/>
      <c r="D59" s="761"/>
      <c r="E59" s="596"/>
      <c r="F59" s="675"/>
      <c r="G59" s="618"/>
      <c r="H59" s="503"/>
    </row>
    <row r="60" spans="1:8" s="502" customFormat="1" hidden="1">
      <c r="A60" s="527"/>
      <c r="B60" s="611"/>
      <c r="C60" s="515"/>
      <c r="D60" s="761"/>
      <c r="E60" s="596"/>
      <c r="F60" s="675"/>
      <c r="G60" s="618"/>
      <c r="H60" s="503"/>
    </row>
    <row r="61" spans="1:8" s="21" customFormat="1" ht="13.9">
      <c r="A61" s="299" t="s">
        <v>35</v>
      </c>
      <c r="B61" s="341"/>
      <c r="C61" s="342"/>
      <c r="D61" s="765">
        <f ca="1">SUM(D51:D60)</f>
        <v>994270.5</v>
      </c>
      <c r="E61" s="605">
        <f ca="1">SUM(E51:E60)</f>
        <v>242720</v>
      </c>
      <c r="F61" s="676"/>
      <c r="G61" s="618"/>
      <c r="H61" s="60"/>
    </row>
    <row r="62" spans="1:8">
      <c r="A62" s="306"/>
      <c r="B62" s="344"/>
      <c r="C62" s="328"/>
      <c r="D62" s="764"/>
      <c r="E62" s="604"/>
      <c r="F62" s="674"/>
      <c r="G62" s="618"/>
      <c r="H62" s="19"/>
    </row>
    <row r="63" spans="1:8" ht="13.9">
      <c r="A63" s="307" t="s">
        <v>80</v>
      </c>
      <c r="B63" s="338"/>
      <c r="C63" s="328"/>
      <c r="D63" s="764"/>
      <c r="E63" s="604"/>
      <c r="F63" s="674"/>
      <c r="G63" s="618"/>
      <c r="H63" s="19"/>
    </row>
    <row r="64" spans="1:8">
      <c r="A64" s="305" t="s">
        <v>232</v>
      </c>
      <c r="B64" s="498"/>
      <c r="C64" s="515"/>
      <c r="D64" s="764">
        <f ca="1">ROUND('Cons Int &amp; Neg Arb'!F28, 0)</f>
        <v>1666000</v>
      </c>
      <c r="E64" s="604">
        <f ca="1">'Cons Int &amp; Neg Arb'!F23*0.8</f>
        <v>714000</v>
      </c>
      <c r="F64" s="677"/>
      <c r="G64" s="618"/>
      <c r="H64" s="19"/>
    </row>
    <row r="65" spans="1:8" s="502" customFormat="1">
      <c r="A65" s="304" t="s">
        <v>349</v>
      </c>
      <c r="B65" s="498"/>
      <c r="C65" s="515"/>
      <c r="D65" s="761">
        <f>'Cons Int &amp; Neg Arb'!F31</f>
        <v>165000</v>
      </c>
      <c r="E65" s="596">
        <f>'Cons Int &amp; Neg Arb'!F32*'Cons Int &amp; Neg Arb'!C13/'Cons Int &amp; Neg Arb'!C15</f>
        <v>132000</v>
      </c>
      <c r="F65" s="704"/>
      <c r="G65" s="618"/>
      <c r="H65" s="503"/>
    </row>
    <row r="66" spans="1:8" s="502" customFormat="1">
      <c r="A66" s="304" t="s">
        <v>154</v>
      </c>
      <c r="B66" s="443">
        <v>0.02</v>
      </c>
      <c r="C66" s="328" t="s">
        <v>170</v>
      </c>
      <c r="D66" s="764">
        <v>675000</v>
      </c>
      <c r="E66" s="604">
        <f>D66*0.75</f>
        <v>506250</v>
      </c>
      <c r="F66" s="674"/>
      <c r="G66" s="618"/>
      <c r="H66" s="503"/>
    </row>
    <row r="67" spans="1:8" s="502" customFormat="1">
      <c r="A67" s="304" t="s">
        <v>488</v>
      </c>
      <c r="B67" s="611"/>
      <c r="C67" s="824"/>
      <c r="D67" s="761">
        <v>450000</v>
      </c>
      <c r="E67" s="596">
        <f>D67</f>
        <v>450000</v>
      </c>
      <c r="F67" s="675"/>
      <c r="G67" s="618"/>
      <c r="H67" s="503"/>
    </row>
    <row r="68" spans="1:8" collapsed="1">
      <c r="A68" s="304" t="s">
        <v>489</v>
      </c>
      <c r="B68" s="445">
        <f>D68/E3</f>
        <v>6250</v>
      </c>
      <c r="C68" s="324" t="s">
        <v>64</v>
      </c>
      <c r="D68" s="764">
        <v>850000</v>
      </c>
      <c r="E68" s="604">
        <f>D68</f>
        <v>850000</v>
      </c>
      <c r="F68" s="674"/>
      <c r="G68" s="618"/>
      <c r="H68" s="19"/>
    </row>
    <row r="69" spans="1:8">
      <c r="A69" s="305" t="s">
        <v>136</v>
      </c>
      <c r="B69" s="346"/>
      <c r="C69" s="362"/>
      <c r="D69" s="764">
        <v>100000</v>
      </c>
      <c r="E69" s="604">
        <f>D69</f>
        <v>100000</v>
      </c>
      <c r="F69" s="674"/>
      <c r="G69" s="618"/>
      <c r="H69" s="19"/>
    </row>
    <row r="70" spans="1:8" s="502" customFormat="1">
      <c r="A70" s="666" t="s">
        <v>122</v>
      </c>
      <c r="B70" s="445">
        <v>500</v>
      </c>
      <c r="C70" s="324" t="s">
        <v>64</v>
      </c>
      <c r="D70" s="764">
        <f>B70*totalunits</f>
        <v>68000</v>
      </c>
      <c r="E70" s="596"/>
      <c r="F70" s="674">
        <f>D70</f>
        <v>68000</v>
      </c>
      <c r="G70" s="618"/>
      <c r="H70" s="503"/>
    </row>
    <row r="71" spans="1:8" s="502" customFormat="1">
      <c r="A71" s="666" t="s">
        <v>333</v>
      </c>
      <c r="B71" s="338"/>
      <c r="C71" s="688"/>
      <c r="D71" s="761">
        <v>25000</v>
      </c>
      <c r="E71" s="596"/>
      <c r="F71" s="675">
        <f>D71*0.5</f>
        <v>12500</v>
      </c>
      <c r="G71" s="618"/>
      <c r="H71" s="503"/>
    </row>
    <row r="72" spans="1:8" s="502" customFormat="1">
      <c r="A72" s="666" t="s">
        <v>402</v>
      </c>
      <c r="B72" s="338"/>
      <c r="C72" s="688"/>
      <c r="D72" s="761">
        <v>50000</v>
      </c>
      <c r="E72" s="596"/>
      <c r="F72" s="675">
        <f>D72*0.2</f>
        <v>10000</v>
      </c>
      <c r="G72" s="618"/>
      <c r="H72" s="503"/>
    </row>
    <row r="73" spans="1:8" s="502" customFormat="1">
      <c r="A73" s="666" t="s">
        <v>403</v>
      </c>
      <c r="B73" s="707"/>
      <c r="C73" s="734" t="s">
        <v>407</v>
      </c>
      <c r="D73" s="760">
        <f>B73*E3*15</f>
        <v>0</v>
      </c>
      <c r="E73" s="596">
        <v>0</v>
      </c>
      <c r="F73" s="675">
        <v>0</v>
      </c>
      <c r="G73" s="618"/>
      <c r="H73" s="503"/>
    </row>
    <row r="74" spans="1:8">
      <c r="A74" s="305" t="s">
        <v>211</v>
      </c>
      <c r="B74" s="346"/>
      <c r="C74" s="362"/>
      <c r="D74" s="764">
        <f>200000</f>
        <v>200000</v>
      </c>
      <c r="E74" s="604"/>
      <c r="F74" s="674">
        <f>200000*0.1</f>
        <v>20000</v>
      </c>
      <c r="G74" s="618"/>
      <c r="H74" s="19"/>
    </row>
    <row r="75" spans="1:8" s="502" customFormat="1">
      <c r="A75" s="693" t="s">
        <v>337</v>
      </c>
      <c r="B75" s="694"/>
      <c r="C75" s="695"/>
      <c r="D75" s="766">
        <v>15000</v>
      </c>
      <c r="E75" s="604"/>
      <c r="F75" s="674"/>
      <c r="G75" s="618"/>
      <c r="H75" s="503"/>
    </row>
    <row r="76" spans="1:8" s="502" customFormat="1">
      <c r="A76" s="693" t="s">
        <v>338</v>
      </c>
      <c r="B76" s="445">
        <v>1000</v>
      </c>
      <c r="C76" s="324" t="s">
        <v>64</v>
      </c>
      <c r="D76" s="764">
        <f>B76*totalunits</f>
        <v>136000</v>
      </c>
      <c r="E76" s="604"/>
      <c r="F76" s="674"/>
      <c r="G76" s="618"/>
      <c r="H76" s="503"/>
    </row>
    <row r="77" spans="1:8">
      <c r="A77" s="305" t="s">
        <v>178</v>
      </c>
      <c r="B77" s="346"/>
      <c r="C77" s="347"/>
      <c r="D77" s="764">
        <f>'Units &amp; Income'!D67+'Units &amp; Income'!D88/2</f>
        <v>24765.062073580004</v>
      </c>
      <c r="E77" s="604"/>
      <c r="F77" s="674"/>
      <c r="G77" s="618"/>
      <c r="H77" s="19"/>
    </row>
    <row r="78" spans="1:8" ht="13.9">
      <c r="A78" s="308" t="s">
        <v>36</v>
      </c>
      <c r="B78" s="348"/>
      <c r="C78" s="349"/>
      <c r="D78" s="767">
        <f ca="1">SUM(D64:D77)</f>
        <v>4424765.06207358</v>
      </c>
      <c r="E78" s="752">
        <f ca="1">SUM(E64:E77)</f>
        <v>2752250</v>
      </c>
      <c r="F78" s="678"/>
      <c r="G78" s="618"/>
      <c r="H78" s="19"/>
    </row>
    <row r="79" spans="1:8">
      <c r="A79" s="309"/>
      <c r="B79" s="350"/>
      <c r="C79" s="328"/>
      <c r="D79" s="764"/>
      <c r="E79" s="604"/>
      <c r="F79" s="674"/>
      <c r="G79" s="618"/>
      <c r="H79" s="19"/>
    </row>
    <row r="80" spans="1:8" ht="13.9">
      <c r="A80" s="307" t="s">
        <v>73</v>
      </c>
      <c r="B80" s="338"/>
      <c r="C80" s="328"/>
      <c r="D80" s="764"/>
      <c r="E80" s="604"/>
      <c r="F80" s="674"/>
      <c r="G80" s="618"/>
      <c r="H80" s="19"/>
    </row>
    <row r="81" spans="1:11" s="502" customFormat="1">
      <c r="A81" s="527" t="s">
        <v>122</v>
      </c>
      <c r="B81" s="445">
        <v>1000</v>
      </c>
      <c r="C81" s="468" t="s">
        <v>204</v>
      </c>
      <c r="D81" s="768">
        <f>B81*totalunits</f>
        <v>136000</v>
      </c>
      <c r="E81" s="606"/>
      <c r="F81" s="679">
        <f>D81*0.2</f>
        <v>27200</v>
      </c>
      <c r="G81" s="618"/>
      <c r="H81" s="503"/>
    </row>
    <row r="82" spans="1:11">
      <c r="A82" s="302" t="s">
        <v>56</v>
      </c>
      <c r="B82" s="445">
        <f>D82/E3</f>
        <v>1000</v>
      </c>
      <c r="C82" s="468" t="s">
        <v>204</v>
      </c>
      <c r="D82" s="768">
        <f>(1000*totalunits)</f>
        <v>136000</v>
      </c>
      <c r="E82" s="606"/>
      <c r="F82" s="679"/>
      <c r="G82" s="618"/>
      <c r="H82" s="19">
        <f>250*E3*15</f>
        <v>510000</v>
      </c>
    </row>
    <row r="83" spans="1:11">
      <c r="A83" s="302" t="s">
        <v>202</v>
      </c>
      <c r="B83" s="445">
        <v>6</v>
      </c>
      <c r="C83" s="468" t="s">
        <v>203</v>
      </c>
      <c r="D83" s="768">
        <f>ROUND(B83*('Cash Flow'!F20+'Cash Flow'!F34)/12, 0)</f>
        <v>999223</v>
      </c>
      <c r="E83" s="606"/>
      <c r="F83" s="679"/>
      <c r="G83" s="618"/>
      <c r="H83" s="19"/>
    </row>
    <row r="84" spans="1:11" s="502" customFormat="1">
      <c r="A84" s="527" t="s">
        <v>351</v>
      </c>
      <c r="B84" s="707">
        <v>4</v>
      </c>
      <c r="C84" s="468" t="s">
        <v>352</v>
      </c>
      <c r="D84" s="761">
        <f>ROUND('Units &amp; Income'!H40*'Devel. Bud'!B84/12, 0)</f>
        <v>774005</v>
      </c>
      <c r="E84" s="596"/>
      <c r="F84" s="675"/>
      <c r="G84" s="618"/>
      <c r="H84" s="503"/>
    </row>
    <row r="85" spans="1:11">
      <c r="A85" s="304" t="s">
        <v>102</v>
      </c>
      <c r="B85" s="446">
        <v>0.05</v>
      </c>
      <c r="C85" s="328"/>
      <c r="D85" s="769">
        <f ca="1">ROUND($B$85*SUM(D78,D38,D33:D60),0)</f>
        <v>584252</v>
      </c>
      <c r="E85" s="607">
        <f ca="1">D85*0.5</f>
        <v>292126</v>
      </c>
      <c r="F85" s="680"/>
      <c r="G85" s="618"/>
      <c r="H85" s="19"/>
    </row>
    <row r="86" spans="1:11" ht="13.9">
      <c r="A86" s="308" t="s">
        <v>37</v>
      </c>
      <c r="B86" s="351"/>
      <c r="C86" s="352"/>
      <c r="D86" s="770">
        <f ca="1">SUM(D81:D85)</f>
        <v>2629480</v>
      </c>
      <c r="E86" s="608">
        <f ca="1">SUM(E81:E85)</f>
        <v>292126</v>
      </c>
      <c r="F86" s="681"/>
      <c r="G86" s="618"/>
      <c r="H86" s="19"/>
    </row>
    <row r="87" spans="1:11">
      <c r="A87" s="216"/>
      <c r="B87" s="338"/>
      <c r="C87" s="328"/>
      <c r="D87" s="764"/>
      <c r="E87" s="604"/>
      <c r="F87" s="674"/>
      <c r="G87" s="618"/>
      <c r="H87" s="19"/>
    </row>
    <row r="88" spans="1:11" ht="13.9">
      <c r="A88" s="310" t="s">
        <v>92</v>
      </c>
      <c r="B88" s="353"/>
      <c r="C88" s="354"/>
      <c r="D88" s="770">
        <f ca="1">D38+D61+D78+D86+D48</f>
        <v>11051515.562073581</v>
      </c>
      <c r="E88" s="609">
        <f ca="1">E38+E61+E78+E86+E48</f>
        <v>5361846</v>
      </c>
      <c r="F88" s="681"/>
      <c r="G88" s="618"/>
      <c r="H88" s="19"/>
    </row>
    <row r="89" spans="1:11" s="502" customFormat="1" ht="13.9">
      <c r="A89" s="571"/>
      <c r="B89" s="572"/>
      <c r="C89" s="573"/>
      <c r="D89" s="771"/>
      <c r="E89" s="609"/>
      <c r="F89" s="682"/>
      <c r="G89" s="618"/>
      <c r="H89" s="503"/>
    </row>
    <row r="90" spans="1:11" s="502" customFormat="1" ht="13.9">
      <c r="A90" s="571" t="s">
        <v>256</v>
      </c>
      <c r="B90" s="446">
        <f ca="1">D90/D92</f>
        <v>0.12108245712882419</v>
      </c>
      <c r="C90" s="573"/>
      <c r="D90" s="829">
        <v>5000000</v>
      </c>
      <c r="E90" s="609">
        <f>D90</f>
        <v>5000000</v>
      </c>
      <c r="F90" s="683"/>
      <c r="G90" s="618"/>
      <c r="H90" s="503"/>
    </row>
    <row r="91" spans="1:11">
      <c r="A91" s="215"/>
      <c r="B91" s="338"/>
      <c r="C91" s="328"/>
      <c r="D91" s="764"/>
      <c r="E91" s="604"/>
      <c r="F91" s="674"/>
      <c r="G91" s="618"/>
      <c r="H91" s="19"/>
      <c r="J91" s="17" t="s">
        <v>491</v>
      </c>
    </row>
    <row r="92" spans="1:11" ht="13.9">
      <c r="A92" s="311" t="s">
        <v>88</v>
      </c>
      <c r="B92" s="355"/>
      <c r="C92" s="356"/>
      <c r="D92" s="772">
        <f ca="1">D12+D19+D88+D90</f>
        <v>41294173.562073581</v>
      </c>
      <c r="E92" s="610">
        <f ca="1">E12+E19+E88+E90</f>
        <v>35354504</v>
      </c>
      <c r="F92" s="684">
        <f ca="1">SUM(F9:F90)</f>
        <v>1963800</v>
      </c>
      <c r="G92" s="618"/>
      <c r="H92" s="20">
        <v>5000000</v>
      </c>
      <c r="I92" s="553">
        <v>0.15</v>
      </c>
      <c r="J92" s="20">
        <f>I92*H92</f>
        <v>750000</v>
      </c>
    </row>
    <row r="93" spans="1:11">
      <c r="A93" s="3"/>
      <c r="B93" s="3"/>
      <c r="C93" s="3"/>
      <c r="D93" s="42"/>
      <c r="E93" s="42"/>
      <c r="F93" s="42"/>
      <c r="G93" s="19"/>
      <c r="H93" s="20">
        <v>5000000</v>
      </c>
      <c r="I93" s="508">
        <v>0.125</v>
      </c>
      <c r="J93" s="20">
        <f t="shared" ref="J93:J97" si="3">I93*H93</f>
        <v>625000</v>
      </c>
      <c r="K93" s="19"/>
    </row>
    <row r="94" spans="1:11" ht="15.75">
      <c r="D94" s="398"/>
      <c r="E94" s="398">
        <f ca="1">E92+D9+SUM(D56:D59)+D33-E33+D32-E32</f>
        <v>36208004</v>
      </c>
      <c r="F94" s="398"/>
      <c r="H94" s="20">
        <v>5000000</v>
      </c>
      <c r="I94" s="553">
        <v>0.1</v>
      </c>
      <c r="J94" s="20">
        <f t="shared" si="3"/>
        <v>500000</v>
      </c>
    </row>
    <row r="95" spans="1:11">
      <c r="E95" s="615">
        <f ca="1">ROUND(E94*0.54, -5)</f>
        <v>19600000</v>
      </c>
      <c r="H95" s="20">
        <v>5000000</v>
      </c>
      <c r="I95" s="826">
        <v>7.4999999999999997E-2</v>
      </c>
      <c r="J95" s="20">
        <f t="shared" si="3"/>
        <v>375000</v>
      </c>
    </row>
    <row r="96" spans="1:11">
      <c r="H96" s="20">
        <v>5000000</v>
      </c>
      <c r="I96" s="553">
        <v>0.05</v>
      </c>
      <c r="J96" s="20">
        <f t="shared" si="3"/>
        <v>250000</v>
      </c>
    </row>
    <row r="97" spans="1:13">
      <c r="H97" s="827">
        <f ca="1">D92-SUM(H92:H96)</f>
        <v>16294173.562073581</v>
      </c>
      <c r="I97" s="828">
        <v>2.5000000000000001E-2</v>
      </c>
      <c r="J97" s="827">
        <f t="shared" ca="1" si="3"/>
        <v>407354.33905183955</v>
      </c>
    </row>
    <row r="98" spans="1:13">
      <c r="D98" s="390"/>
      <c r="E98" s="390"/>
      <c r="F98" s="390"/>
      <c r="J98" s="20">
        <f ca="1">SUM(J92:J97)</f>
        <v>2907354.3390518394</v>
      </c>
      <c r="K98" s="830">
        <f ca="1">J98/D90</f>
        <v>0.58147086781036783</v>
      </c>
    </row>
    <row r="99" spans="1:13">
      <c r="D99" s="20"/>
      <c r="E99" s="20"/>
      <c r="F99" s="20"/>
      <c r="J99" s="831">
        <f ca="1">'Sources and Use'!C43-'Sources and Use'!C32</f>
        <v>3854009.2229465824</v>
      </c>
      <c r="K99" s="17" t="s">
        <v>492</v>
      </c>
      <c r="L99" s="832">
        <f ca="1">J99/D90</f>
        <v>0.77080184458931644</v>
      </c>
      <c r="M99" s="17">
        <f ca="1">J99/D92</f>
        <v>9.3330581302304524E-2</v>
      </c>
    </row>
    <row r="100" spans="1:13">
      <c r="J100" s="20">
        <f ca="1">J98-J99</f>
        <v>-946654.88389474293</v>
      </c>
      <c r="K100" s="17" t="s">
        <v>493</v>
      </c>
    </row>
    <row r="102" spans="1:13">
      <c r="A102" s="3"/>
      <c r="C102" s="22"/>
      <c r="D102" s="20"/>
      <c r="E102" s="20"/>
      <c r="F102" s="20"/>
    </row>
  </sheetData>
  <customSheetViews>
    <customSheetView guid="{25C4E7E7-1006-4A2D-BC83-AEE4ADF8A914}" scale="70" colorId="22" showPageBreaks="1" fitToPage="1" printArea="1" hiddenRows="1" showRuler="0" topLeftCell="A31">
      <selection activeCell="A42" sqref="A42"/>
      <pageMargins left="0.7" right="0.7" top="0.75" bottom="0.75" header="0.3" footer="0.3"/>
      <headerFooter alignWithMargins="0"/>
    </customSheetView>
    <customSheetView guid="{28F81D13-D146-4D67-8981-BA5D7A496326}" scale="75" colorId="22" showPageBreaks="1" fitToPage="1" printArea="1" showRuler="0" topLeftCell="C1">
      <selection activeCell="G77" sqref="A1:G77"/>
      <pageMargins left="0.7" right="0.7" top="0.75" bottom="0.75" header="0.3" footer="0.3"/>
      <headerFooter alignWithMargins="0"/>
    </customSheetView>
    <customSheetView guid="{AEA5979F-5357-4ED6-A6CA-1BB80F5C7A74}" scale="75" colorId="22" showPageBreaks="1" fitToPage="1" printArea="1" showRuler="0" topLeftCell="A49">
      <selection activeCell="C83" sqref="C83"/>
      <pageMargins left="0.7" right="0.7" top="0.75" bottom="0.75" header="0.3" footer="0.3"/>
      <headerFooter alignWithMargins="0"/>
    </customSheetView>
    <customSheetView guid="{EB776EFC-3589-4DB5-BEAF-1E83D9703F9E}" scale="75" colorId="22" fitToPage="1" hiddenColumns="1" showRuler="0" topLeftCell="A52">
      <selection activeCell="F56" sqref="F56"/>
      <pageMargins left="0.7" right="0.7" top="0.75" bottom="0.75" header="0.3" footer="0.3"/>
      <headerFooter alignWithMargins="0"/>
    </customSheetView>
    <customSheetView guid="{FBB4BF8E-8A9F-4E98-A6F9-5F9BF4C55C67}" scale="75" colorId="22" showPageBreaks="1" fitToPage="1" printArea="1" hiddenColumns="1" showRuler="0" topLeftCell="B49">
      <selection activeCell="F54" sqref="F54"/>
      <pageMargins left="0.7" right="0.7" top="0.75" bottom="0.75" header="0.3" footer="0.3"/>
      <headerFooter alignWithMargins="0"/>
    </customSheetView>
    <customSheetView guid="{6EF643BE-69F3-424E-8A44-3890161370D4}" scale="75" colorId="22" showPageBreaks="1" fitToPage="1" printArea="1" showRuler="0">
      <selection activeCell="E77" sqref="E77"/>
      <pageMargins left="0.7" right="0.7" top="0.75" bottom="0.75" header="0.3" footer="0.3"/>
      <headerFooter alignWithMargins="0"/>
    </customSheetView>
    <customSheetView guid="{1ECE83C7-A3CE-4F97-BFD3-498FF783C0D9}" scale="70" colorId="22" showPageBreaks="1" fitToPage="1" printArea="1" showRuler="0" topLeftCell="A34">
      <selection activeCell="A60" sqref="A60"/>
      <pageMargins left="0.7" right="0.7" top="0.75" bottom="0.75" header="0.3" footer="0.3"/>
      <headerFooter alignWithMargins="0"/>
    </customSheetView>
    <customSheetView guid="{560D4AFA-61E5-46C3-B0CD-D0EB3053A033}" scale="70" colorId="22" showPageBreaks="1" fitToPage="1" printArea="1" hiddenRows="1" showRuler="0">
      <selection activeCell="I23" sqref="I23"/>
      <pageMargins left="0.7" right="0.7" top="0.75" bottom="0.75" header="0.3" footer="0.3"/>
      <headerFooter alignWithMargins="0"/>
    </customSheetView>
  </customSheetViews>
  <phoneticPr fontId="0" type="noConversion"/>
  <pageMargins left="0.5" right="0.5" top="0.5" bottom="0.4" header="0.3" footer="0.3"/>
  <pageSetup scale="55" orientation="portrait" r:id="rId1"/>
  <headerFooter alignWithMargins="0">
    <oddFooter>&amp;R&amp;10&amp;P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Sheet3"/>
  <dimension ref="A1:I56"/>
  <sheetViews>
    <sheetView showGridLines="0" view="pageBreakPreview" zoomScale="115" zoomScaleNormal="100" zoomScaleSheetLayoutView="115" workbookViewId="0">
      <selection activeCell="H32" sqref="H32"/>
    </sheetView>
  </sheetViews>
  <sheetFormatPr defaultRowHeight="15"/>
  <cols>
    <col min="1" max="1" width="16.21875" customWidth="1"/>
    <col min="2" max="2" width="11.6640625" customWidth="1"/>
    <col min="3" max="3" width="12" customWidth="1"/>
    <col min="4" max="4" width="9.0546875" customWidth="1"/>
    <col min="5" max="5" width="10.77734375" customWidth="1"/>
    <col min="6" max="6" width="11.83203125" bestFit="1" customWidth="1"/>
  </cols>
  <sheetData>
    <row r="1" spans="1:7" s="44" customFormat="1" ht="17.649999999999999">
      <c r="A1" s="44" t="str">
        <f>'Sources and Use'!A1</f>
        <v>MDG Design and Construction</v>
      </c>
    </row>
    <row r="2" spans="1:7" s="44" customFormat="1" ht="17.649999999999999">
      <c r="A2" s="44" t="str">
        <f>'Sources and Use'!A2</f>
        <v>Virgin Islands: Piggy/Hamilton RAD</v>
      </c>
    </row>
    <row r="3" spans="1:7" s="46" customFormat="1" ht="18" thickBot="1">
      <c r="A3" s="46" t="str">
        <f>'Sources and Use'!A3</f>
        <v>4% LIHTC and FEMA/CDBG-DR</v>
      </c>
    </row>
    <row r="4" spans="1:7" s="48" customFormat="1">
      <c r="A4" s="48" t="s">
        <v>69</v>
      </c>
    </row>
    <row r="5" spans="1:7">
      <c r="A5" s="501"/>
      <c r="B5" s="513"/>
      <c r="C5" s="513"/>
      <c r="D5" s="513"/>
      <c r="E5" s="514"/>
      <c r="F5" s="514"/>
    </row>
    <row r="6" spans="1:7" s="8" customFormat="1">
      <c r="A6" s="279" t="s">
        <v>232</v>
      </c>
      <c r="B6" s="279"/>
      <c r="C6" s="280"/>
      <c r="D6" s="281"/>
      <c r="E6" s="282"/>
      <c r="F6" s="282"/>
      <c r="G6" s="163"/>
    </row>
    <row r="7" spans="1:7">
      <c r="A7" s="504" t="s">
        <v>131</v>
      </c>
      <c r="B7" s="505"/>
      <c r="C7" s="506" t="s">
        <v>95</v>
      </c>
      <c r="D7" s="502"/>
    </row>
    <row r="8" spans="1:7">
      <c r="A8" s="518" t="s">
        <v>233</v>
      </c>
      <c r="B8" s="507">
        <f ca="1">B10-B9</f>
        <v>14875000</v>
      </c>
      <c r="C8" s="508">
        <f ca="1">B8/B10</f>
        <v>0.7589285714285714</v>
      </c>
      <c r="D8" s="502"/>
    </row>
    <row r="9" spans="1:7">
      <c r="A9" s="518" t="s">
        <v>234</v>
      </c>
      <c r="B9" s="507">
        <f>'Sources and Use'!C23</f>
        <v>4725000</v>
      </c>
      <c r="C9" s="508">
        <f ca="1">B9/B10</f>
        <v>0.24107142857142858</v>
      </c>
      <c r="D9" s="502"/>
    </row>
    <row r="10" spans="1:7">
      <c r="A10" s="524" t="s">
        <v>217</v>
      </c>
      <c r="B10" s="525">
        <f ca="1">'Sources and Use'!C7</f>
        <v>19600000</v>
      </c>
      <c r="C10" s="503"/>
      <c r="D10" s="502"/>
    </row>
    <row r="11" spans="1:7">
      <c r="A11" s="500"/>
      <c r="B11" s="500"/>
      <c r="C11" s="500"/>
      <c r="D11" s="502"/>
    </row>
    <row r="12" spans="1:7">
      <c r="A12" s="509" t="s">
        <v>62</v>
      </c>
      <c r="B12" s="512" t="s">
        <v>97</v>
      </c>
      <c r="C12" s="506" t="s">
        <v>98</v>
      </c>
      <c r="D12" s="502"/>
      <c r="E12" s="502"/>
      <c r="F12" s="502"/>
    </row>
    <row r="13" spans="1:7">
      <c r="A13" s="518" t="s">
        <v>218</v>
      </c>
      <c r="B13" s="492">
        <v>24</v>
      </c>
      <c r="C13" s="532">
        <f>B13/12</f>
        <v>2</v>
      </c>
      <c r="D13" s="503"/>
      <c r="E13" s="529"/>
      <c r="F13" s="511"/>
    </row>
    <row r="14" spans="1:7">
      <c r="A14" s="518" t="s">
        <v>219</v>
      </c>
      <c r="B14" s="492">
        <v>6</v>
      </c>
      <c r="C14" s="532">
        <f>B14/12</f>
        <v>0.5</v>
      </c>
      <c r="D14" s="503"/>
      <c r="E14" s="529"/>
      <c r="F14" s="511"/>
    </row>
    <row r="15" spans="1:7">
      <c r="A15" s="518" t="s">
        <v>132</v>
      </c>
      <c r="B15" s="503">
        <f>SUM(B13:B14)</f>
        <v>30</v>
      </c>
      <c r="C15" s="510">
        <f>SUM(C13:C14)</f>
        <v>2.5</v>
      </c>
      <c r="D15" s="503"/>
      <c r="E15" s="530"/>
      <c r="F15" s="511"/>
    </row>
    <row r="16" spans="1:7">
      <c r="A16" s="516"/>
      <c r="B16" s="502"/>
      <c r="C16" s="503"/>
      <c r="D16" s="503"/>
      <c r="E16" s="511"/>
      <c r="F16" s="511"/>
    </row>
    <row r="17" spans="1:9">
      <c r="A17" s="509" t="s">
        <v>220</v>
      </c>
      <c r="B17" s="502"/>
      <c r="C17" s="503"/>
      <c r="D17" s="503"/>
      <c r="E17" s="511"/>
      <c r="F17" s="511"/>
    </row>
    <row r="18" spans="1:9">
      <c r="A18" s="517" t="s">
        <v>233</v>
      </c>
      <c r="B18" s="537">
        <v>0.05</v>
      </c>
      <c r="C18" s="526"/>
      <c r="D18" s="506"/>
      <c r="E18" s="511"/>
      <c r="F18" s="511"/>
    </row>
    <row r="19" spans="1:9" s="500" customFormat="1">
      <c r="A19" s="517" t="s">
        <v>234</v>
      </c>
      <c r="B19" s="537">
        <v>0.05</v>
      </c>
      <c r="C19" s="59"/>
      <c r="D19" s="506"/>
      <c r="E19" s="511"/>
      <c r="F19" s="511"/>
      <c r="G19" s="8"/>
      <c r="H19"/>
      <c r="I19"/>
    </row>
    <row r="20" spans="1:9" s="500" customFormat="1">
      <c r="A20" s="517"/>
      <c r="B20"/>
      <c r="C20" s="59"/>
      <c r="D20" s="506"/>
      <c r="E20" s="511"/>
      <c r="F20" s="511"/>
      <c r="G20" s="8"/>
    </row>
    <row r="21" spans="1:9">
      <c r="A21" s="751"/>
      <c r="B21" s="502"/>
      <c r="C21" s="503"/>
      <c r="D21" s="503"/>
      <c r="E21" s="511"/>
      <c r="F21" s="511"/>
    </row>
    <row r="22" spans="1:9">
      <c r="A22" s="521" t="s">
        <v>221</v>
      </c>
      <c r="B22" s="519" t="s">
        <v>76</v>
      </c>
      <c r="C22" s="519" t="s">
        <v>222</v>
      </c>
      <c r="D22" s="519" t="s">
        <v>62</v>
      </c>
      <c r="E22" s="519" t="s">
        <v>79</v>
      </c>
      <c r="F22" s="520" t="s">
        <v>78</v>
      </c>
    </row>
    <row r="23" spans="1:9" s="500" customFormat="1">
      <c r="A23" s="517" t="s">
        <v>233</v>
      </c>
      <c r="B23" s="533">
        <f ca="1">B8</f>
        <v>14875000</v>
      </c>
      <c r="C23" s="538">
        <v>0.6</v>
      </c>
      <c r="D23" s="534">
        <f>C13</f>
        <v>2</v>
      </c>
      <c r="E23" s="535">
        <f>B18</f>
        <v>0.05</v>
      </c>
      <c r="F23" s="536">
        <f ca="1">B23*C23*D23*E23</f>
        <v>892500</v>
      </c>
      <c r="G23"/>
      <c r="H23"/>
      <c r="I23"/>
    </row>
    <row r="24" spans="1:9">
      <c r="A24" s="517" t="s">
        <v>233</v>
      </c>
      <c r="B24" s="533">
        <f ca="1">B8</f>
        <v>14875000</v>
      </c>
      <c r="C24" s="538">
        <v>1</v>
      </c>
      <c r="D24" s="534">
        <f>C14</f>
        <v>0.5</v>
      </c>
      <c r="E24" s="535">
        <f>B18</f>
        <v>0.05</v>
      </c>
      <c r="F24" s="536">
        <f ca="1">B24*C24*D24*E24</f>
        <v>371875</v>
      </c>
    </row>
    <row r="25" spans="1:9" s="500" customFormat="1">
      <c r="A25" s="518" t="str">
        <f>A19</f>
        <v>Long Term</v>
      </c>
      <c r="B25" s="533">
        <f>B9</f>
        <v>4725000</v>
      </c>
      <c r="C25" s="538">
        <v>0.6</v>
      </c>
      <c r="D25" s="534">
        <f>C13</f>
        <v>2</v>
      </c>
      <c r="E25" s="550">
        <f>B19</f>
        <v>0.05</v>
      </c>
      <c r="F25" s="536">
        <f>B25*C25*D25*E25</f>
        <v>283500</v>
      </c>
      <c r="G25"/>
      <c r="H25"/>
      <c r="I25"/>
    </row>
    <row r="26" spans="1:9">
      <c r="A26" s="518" t="str">
        <f>A25</f>
        <v>Long Term</v>
      </c>
      <c r="B26" s="533">
        <f>B9</f>
        <v>4725000</v>
      </c>
      <c r="C26" s="538">
        <v>1</v>
      </c>
      <c r="D26" s="534">
        <f>C14</f>
        <v>0.5</v>
      </c>
      <c r="E26" s="550">
        <f>B19</f>
        <v>0.05</v>
      </c>
      <c r="F26" s="536">
        <f>B26*C26*D26*E26</f>
        <v>118125</v>
      </c>
    </row>
    <row r="28" spans="1:9">
      <c r="A28" s="522" t="s">
        <v>17</v>
      </c>
      <c r="B28" s="523"/>
      <c r="C28" s="523"/>
      <c r="D28" s="523"/>
      <c r="E28" s="528"/>
      <c r="F28" s="705">
        <f ca="1">SUM(F23:F27)</f>
        <v>1666000</v>
      </c>
    </row>
    <row r="29" spans="1:9" s="500" customFormat="1">
      <c r="A29" s="28"/>
      <c r="B29" s="503"/>
      <c r="C29" s="503"/>
      <c r="D29" s="503"/>
      <c r="E29" s="703"/>
      <c r="F29" s="531"/>
    </row>
    <row r="30" spans="1:9" s="500" customFormat="1">
      <c r="A30" s="28" t="s">
        <v>347</v>
      </c>
      <c r="B30" s="519" t="s">
        <v>76</v>
      </c>
      <c r="C30" s="519" t="s">
        <v>222</v>
      </c>
      <c r="D30" s="519" t="s">
        <v>62</v>
      </c>
      <c r="E30" s="519" t="s">
        <v>79</v>
      </c>
      <c r="F30" s="520" t="s">
        <v>78</v>
      </c>
    </row>
    <row r="31" spans="1:9" s="500" customFormat="1">
      <c r="A31" s="517" t="s">
        <v>107</v>
      </c>
      <c r="B31" s="533">
        <f>SUM('Sources and Use'!C10:C13)</f>
        <v>11000000</v>
      </c>
      <c r="C31" s="538">
        <v>0.6</v>
      </c>
      <c r="D31" s="534">
        <f>C15</f>
        <v>2.5</v>
      </c>
      <c r="E31" s="535">
        <v>0.01</v>
      </c>
      <c r="F31" s="536">
        <f>B31*C31*D31*E31</f>
        <v>165000</v>
      </c>
    </row>
    <row r="32" spans="1:9" s="500" customFormat="1">
      <c r="A32" s="28"/>
      <c r="B32" s="503"/>
      <c r="C32" s="503"/>
      <c r="D32" s="503"/>
      <c r="E32" s="703"/>
      <c r="F32" s="531">
        <f>F31</f>
        <v>165000</v>
      </c>
    </row>
    <row r="33" spans="1:9" s="500" customFormat="1">
      <c r="A33" s="28"/>
      <c r="B33" s="503"/>
      <c r="C33" s="503"/>
      <c r="D33" s="503"/>
      <c r="E33" s="703"/>
      <c r="F33" s="531"/>
    </row>
    <row r="34" spans="1:9" s="500" customFormat="1">
      <c r="A34" s="28"/>
      <c r="B34" s="503"/>
      <c r="C34" s="503"/>
      <c r="D34" s="503"/>
      <c r="E34" s="703"/>
      <c r="F34" s="531"/>
    </row>
    <row r="35" spans="1:9" s="500" customFormat="1">
      <c r="A35" s="28"/>
      <c r="B35" s="503"/>
      <c r="C35" s="503"/>
      <c r="D35" s="503"/>
      <c r="E35" s="703"/>
      <c r="F35" s="531"/>
    </row>
    <row r="36" spans="1:9" s="500" customFormat="1">
      <c r="A36" s="28"/>
      <c r="B36" s="503"/>
      <c r="C36" s="503"/>
      <c r="D36" s="503"/>
      <c r="E36" s="703"/>
      <c r="F36" s="531"/>
    </row>
    <row r="37" spans="1:9" s="500" customFormat="1">
      <c r="A37" s="28"/>
      <c r="B37" s="503"/>
      <c r="C37" s="503"/>
      <c r="D37" s="503"/>
      <c r="E37" s="703"/>
      <c r="F37" s="531"/>
    </row>
    <row r="38" spans="1:9" s="500" customFormat="1">
      <c r="A38" s="28"/>
      <c r="B38" s="503"/>
      <c r="C38" s="503"/>
      <c r="D38" s="503"/>
      <c r="E38" s="703"/>
      <c r="F38" s="531"/>
    </row>
    <row r="39" spans="1:9" s="500" customFormat="1">
      <c r="A39" s="28"/>
      <c r="B39" s="503"/>
      <c r="C39" s="503"/>
      <c r="D39" s="503"/>
      <c r="E39" s="703"/>
      <c r="F39" s="531"/>
    </row>
    <row r="40" spans="1:9">
      <c r="A40" s="509"/>
      <c r="B40" s="502"/>
      <c r="C40" s="503"/>
      <c r="D40" s="503"/>
      <c r="E40" s="511"/>
      <c r="F40" s="511"/>
    </row>
    <row r="41" spans="1:9" s="8" customFormat="1">
      <c r="A41" s="279" t="s">
        <v>227</v>
      </c>
      <c r="B41" s="279"/>
      <c r="C41" s="280"/>
      <c r="D41" s="281"/>
      <c r="E41" s="282"/>
      <c r="F41" s="282"/>
      <c r="G41" s="163"/>
    </row>
    <row r="42" spans="1:9">
      <c r="A42" s="502" t="s">
        <v>223</v>
      </c>
      <c r="B42" s="539">
        <v>5.0000000000000001E-3</v>
      </c>
      <c r="C42" s="502"/>
    </row>
    <row r="43" spans="1:9">
      <c r="A43" s="502"/>
      <c r="B43" s="502"/>
      <c r="C43" s="502"/>
    </row>
    <row r="44" spans="1:9">
      <c r="A44" s="502"/>
      <c r="B44" s="502" t="s">
        <v>224</v>
      </c>
      <c r="C44" s="502" t="s">
        <v>225</v>
      </c>
    </row>
    <row r="45" spans="1:9">
      <c r="A45" s="502" t="s">
        <v>79</v>
      </c>
      <c r="B45" s="541">
        <f>B18</f>
        <v>0.05</v>
      </c>
      <c r="C45" s="541">
        <f>B19</f>
        <v>0.05</v>
      </c>
    </row>
    <row r="46" spans="1:9" s="500" customFormat="1">
      <c r="A46" s="502" t="s">
        <v>76</v>
      </c>
      <c r="B46" s="533">
        <f ca="1">B24</f>
        <v>14875000</v>
      </c>
      <c r="C46" s="533">
        <f>B26</f>
        <v>4725000</v>
      </c>
      <c r="G46"/>
      <c r="H46"/>
      <c r="I46"/>
    </row>
    <row r="47" spans="1:9">
      <c r="A47" s="502" t="s">
        <v>222</v>
      </c>
      <c r="B47" s="542">
        <f>C24-C23</f>
        <v>0.4</v>
      </c>
      <c r="C47" s="542">
        <f>100%-C25</f>
        <v>0.4</v>
      </c>
    </row>
    <row r="48" spans="1:9">
      <c r="A48" s="502" t="s">
        <v>226</v>
      </c>
      <c r="B48" s="541">
        <f>B45-B42</f>
        <v>4.5000000000000005E-2</v>
      </c>
      <c r="C48" s="541">
        <f>C45-B42</f>
        <v>4.5000000000000005E-2</v>
      </c>
    </row>
    <row r="49" spans="1:7">
      <c r="A49" s="502" t="s">
        <v>218</v>
      </c>
      <c r="B49" s="532">
        <f>C13</f>
        <v>2</v>
      </c>
      <c r="C49" s="532">
        <f>C13</f>
        <v>2</v>
      </c>
    </row>
    <row r="50" spans="1:7">
      <c r="A50" s="502"/>
      <c r="B50" s="543">
        <f ca="1">B46*B47*B48*B49</f>
        <v>535500.00000000012</v>
      </c>
      <c r="C50" s="544">
        <f>C46*C47*C48*C49</f>
        <v>170100.00000000003</v>
      </c>
    </row>
    <row r="51" spans="1:7">
      <c r="A51" s="502" t="s">
        <v>227</v>
      </c>
      <c r="B51" s="545"/>
      <c r="C51" s="546">
        <f ca="1">B50+C50</f>
        <v>705600.00000000012</v>
      </c>
    </row>
    <row r="53" spans="1:7" s="8" customFormat="1">
      <c r="A53" s="279" t="s">
        <v>231</v>
      </c>
      <c r="B53" s="279"/>
      <c r="C53" s="280"/>
      <c r="D53" s="281"/>
      <c r="E53" s="282"/>
      <c r="F53" s="282"/>
      <c r="G53" s="163"/>
    </row>
    <row r="54" spans="1:7">
      <c r="A54" s="502" t="s">
        <v>228</v>
      </c>
      <c r="B54" s="547"/>
      <c r="C54" s="548">
        <f ca="1">B10</f>
        <v>19600000</v>
      </c>
    </row>
    <row r="55" spans="1:7">
      <c r="A55" s="502" t="s">
        <v>229</v>
      </c>
      <c r="B55" s="540">
        <v>60</v>
      </c>
      <c r="C55" s="548">
        <f ca="1">C54*B19*(B55/365)</f>
        <v>161095.89041095891</v>
      </c>
    </row>
    <row r="56" spans="1:7">
      <c r="A56" s="502" t="s">
        <v>230</v>
      </c>
      <c r="B56" s="502"/>
      <c r="C56" s="549">
        <f ca="1">C54+C55</f>
        <v>19761095.89041096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Sheet4">
    <pageSetUpPr fitToPage="1"/>
  </sheetPr>
  <dimension ref="A1:L14"/>
  <sheetViews>
    <sheetView showGridLines="0" view="pageBreakPreview" zoomScaleNormal="75" zoomScaleSheetLayoutView="100" zoomScalePageLayoutView="75" workbookViewId="0">
      <selection activeCell="A35" sqref="A35:XFD35"/>
    </sheetView>
  </sheetViews>
  <sheetFormatPr defaultColWidth="8.6640625" defaultRowHeight="15"/>
  <cols>
    <col min="1" max="1" width="44.27734375" style="8" customWidth="1"/>
    <col min="2" max="2" width="6.21875" style="8" customWidth="1"/>
    <col min="3" max="3" width="12.6640625" style="8" customWidth="1"/>
    <col min="4" max="4" width="10.5546875" style="8" customWidth="1"/>
    <col min="5" max="5" width="13.0546875" style="8" customWidth="1"/>
    <col min="6" max="6" width="13.6640625" style="8" bestFit="1" customWidth="1"/>
    <col min="7" max="7" width="12.83203125" style="8" customWidth="1"/>
    <col min="8" max="8" width="9.83203125" style="8" bestFit="1" customWidth="1"/>
    <col min="9" max="11" width="8.6640625" style="8"/>
    <col min="12" max="12" width="8.83203125" style="8" bestFit="1" customWidth="1"/>
    <col min="13" max="16384" width="8.6640625" style="8"/>
  </cols>
  <sheetData>
    <row r="1" spans="1:12" ht="17.649999999999999">
      <c r="A1" s="44" t="str">
        <f>'Devel. Bud'!A1</f>
        <v>MDG Design and Construction</v>
      </c>
      <c r="B1" s="57"/>
      <c r="C1" s="57"/>
      <c r="D1" s="56"/>
      <c r="E1" s="57"/>
      <c r="F1" s="207"/>
      <c r="G1" s="207"/>
      <c r="H1" s="207"/>
    </row>
    <row r="2" spans="1:12" ht="17.649999999999999">
      <c r="A2" s="44" t="str">
        <f>'Sources and Use'!A2</f>
        <v>Virgin Islands: Piggy/Hamilton RAD</v>
      </c>
      <c r="B2" s="57"/>
      <c r="C2" s="57"/>
      <c r="D2" s="57"/>
      <c r="E2" s="57"/>
      <c r="F2" s="207"/>
      <c r="G2" s="207"/>
      <c r="H2" s="207"/>
    </row>
    <row r="3" spans="1:12" ht="18" thickBot="1">
      <c r="A3" s="46" t="str">
        <f>'Sources and Use'!A3</f>
        <v>4% LIHTC and FEMA/CDBG-DR</v>
      </c>
      <c r="B3" s="46"/>
      <c r="C3" s="147" t="s">
        <v>75</v>
      </c>
      <c r="D3" s="58">
        <f>'Sources and Use'!$E$4</f>
        <v>136</v>
      </c>
      <c r="E3" s="44"/>
      <c r="F3" s="207"/>
      <c r="G3" s="207"/>
      <c r="H3" s="207"/>
    </row>
    <row r="4" spans="1:12" s="17" customFormat="1" ht="15.75" customHeight="1">
      <c r="A4" s="48" t="s">
        <v>149</v>
      </c>
      <c r="B4" s="48"/>
      <c r="C4" s="48"/>
      <c r="D4" s="48"/>
      <c r="E4" s="48"/>
      <c r="F4" s="208"/>
      <c r="G4" s="208"/>
      <c r="H4" s="208"/>
    </row>
    <row r="5" spans="1:12">
      <c r="A5" s="7"/>
      <c r="B5" s="63"/>
      <c r="C5" s="63"/>
      <c r="D5" s="63"/>
      <c r="F5" s="207"/>
      <c r="G5" s="207"/>
      <c r="H5" s="207"/>
    </row>
    <row r="6" spans="1:12" ht="13.5" customHeight="1">
      <c r="A6" s="279" t="s">
        <v>91</v>
      </c>
      <c r="B6" s="279"/>
      <c r="C6" s="280"/>
      <c r="D6" s="281"/>
      <c r="E6" s="17"/>
      <c r="F6" s="207"/>
      <c r="G6" s="209"/>
      <c r="H6" s="207"/>
    </row>
    <row r="7" spans="1:12">
      <c r="A7" s="175" t="s">
        <v>150</v>
      </c>
      <c r="B7" s="454">
        <v>1.2500000000000001E-2</v>
      </c>
      <c r="C7" s="290" t="s">
        <v>173</v>
      </c>
      <c r="D7" s="249">
        <f>ROUND(PRODUCT(B7,'Devel. Bud'!D12),-3)</f>
        <v>31000</v>
      </c>
      <c r="F7" s="64"/>
      <c r="G7" s="64"/>
    </row>
    <row r="8" spans="1:12">
      <c r="A8" s="175" t="s">
        <v>193</v>
      </c>
      <c r="B8" s="454">
        <v>1.09E-3</v>
      </c>
      <c r="C8" s="290"/>
      <c r="D8" s="249">
        <f ca="1">ROUND(PRODUCT(B8,'Sources and Use'!C7),-3)</f>
        <v>21000</v>
      </c>
      <c r="F8" s="64"/>
      <c r="G8" s="64"/>
      <c r="H8" s="205"/>
      <c r="L8" s="205"/>
    </row>
    <row r="9" spans="1:12">
      <c r="A9" s="174" t="s">
        <v>306</v>
      </c>
      <c r="B9" s="454">
        <v>8.3199999999999995E-4</v>
      </c>
      <c r="C9" s="290" t="s">
        <v>174</v>
      </c>
      <c r="D9" s="249">
        <f>ROUND(PRODUCT(B9,'Sources and Use'!C24),-3)</f>
        <v>2000</v>
      </c>
      <c r="F9" s="64"/>
    </row>
    <row r="10" spans="1:12">
      <c r="A10" s="174" t="s">
        <v>151</v>
      </c>
      <c r="B10" s="294"/>
      <c r="C10" s="290"/>
      <c r="D10" s="249">
        <v>14000</v>
      </c>
      <c r="F10" s="27"/>
      <c r="G10" s="27"/>
    </row>
    <row r="11" spans="1:12">
      <c r="A11" s="174" t="s">
        <v>152</v>
      </c>
      <c r="B11" s="454">
        <v>1.21E-4</v>
      </c>
      <c r="C11" s="290" t="s">
        <v>173</v>
      </c>
      <c r="D11" s="249">
        <f>ROUND(PRODUCT(B11,'Devel. Bud'!D12),-3)</f>
        <v>0</v>
      </c>
    </row>
    <row r="12" spans="1:12">
      <c r="A12" s="174" t="s">
        <v>153</v>
      </c>
      <c r="B12" s="294"/>
      <c r="C12" s="290"/>
      <c r="D12" s="291">
        <v>150000</v>
      </c>
      <c r="F12" s="242"/>
      <c r="G12" s="206"/>
    </row>
    <row r="13" spans="1:12" s="6" customFormat="1">
      <c r="A13" s="174"/>
      <c r="B13" s="201"/>
      <c r="C13" s="201"/>
      <c r="D13" s="25">
        <f ca="1">SUM(D7:D12)</f>
        <v>218000</v>
      </c>
      <c r="F13" s="203"/>
      <c r="G13" s="204"/>
    </row>
    <row r="14" spans="1:12">
      <c r="A14" s="200"/>
      <c r="B14" s="199"/>
      <c r="C14" s="199"/>
      <c r="D14" s="199"/>
      <c r="E14" s="199"/>
      <c r="F14" s="202"/>
      <c r="G14" s="202"/>
      <c r="H14" s="205"/>
      <c r="L14" s="205"/>
    </row>
  </sheetData>
  <dataConsolidate/>
  <pageMargins left="0.5" right="0.5" top="0.5" bottom="0.4" header="0.3" footer="0.3"/>
  <pageSetup orientation="portrait" r:id="rId1"/>
  <headerFooter alignWithMargins="0">
    <oddFooter>&amp;R&amp;10&amp;P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published="0" codeName="Sheet5"/>
  <dimension ref="A1:AD149"/>
  <sheetViews>
    <sheetView showGridLines="0" view="pageBreakPreview" zoomScale="80" zoomScaleNormal="75" zoomScaleSheetLayoutView="80" zoomScalePageLayoutView="75" workbookViewId="0">
      <selection activeCell="AG27" sqref="AG27"/>
    </sheetView>
  </sheetViews>
  <sheetFormatPr defaultColWidth="9.6640625" defaultRowHeight="15"/>
  <cols>
    <col min="1" max="1" width="22.21875" style="62" customWidth="1"/>
    <col min="2" max="2" width="13" style="62" customWidth="1"/>
    <col min="3" max="3" width="12.83203125" style="62" customWidth="1"/>
    <col min="4" max="4" width="12.44140625" style="62" customWidth="1"/>
    <col min="5" max="5" width="12" style="62" customWidth="1"/>
    <col min="6" max="6" width="11.44140625" style="62" hidden="1" customWidth="1"/>
    <col min="7" max="7" width="12.0546875" style="62" hidden="1" customWidth="1"/>
    <col min="8" max="8" width="10.0546875" style="62" customWidth="1"/>
    <col min="9" max="9" width="8.21875" style="62" customWidth="1"/>
    <col min="10" max="10" width="10" hidden="1" customWidth="1"/>
    <col min="11" max="11" width="10.83203125" hidden="1" customWidth="1"/>
    <col min="12" max="12" width="10.77734375" hidden="1" customWidth="1"/>
    <col min="13" max="13" width="6.83203125" style="62" hidden="1" customWidth="1"/>
    <col min="14" max="17" width="11.27734375" style="62" hidden="1" customWidth="1"/>
    <col min="18" max="19" width="0" style="62" hidden="1" customWidth="1"/>
    <col min="20" max="20" width="9.6640625" style="62" hidden="1" customWidth="1"/>
    <col min="21" max="27" width="0" style="62" hidden="1" customWidth="1"/>
    <col min="28" max="16384" width="9.6640625" style="62"/>
  </cols>
  <sheetData>
    <row r="1" spans="1:17" ht="17.649999999999999">
      <c r="A1" s="44" t="str">
        <f>'Sources and Use'!A1</f>
        <v>MDG Design and Construction</v>
      </c>
      <c r="B1" s="44"/>
      <c r="C1" s="44"/>
      <c r="D1" s="44"/>
      <c r="E1" s="44"/>
      <c r="F1" s="44"/>
      <c r="G1" s="44"/>
      <c r="H1" s="56"/>
      <c r="I1" s="44"/>
      <c r="M1" s="68"/>
    </row>
    <row r="2" spans="1:17" ht="17.649999999999999">
      <c r="A2" s="44" t="str">
        <f>'Sources and Use'!A2</f>
        <v>Virgin Islands: Piggy/Hamilton RAD</v>
      </c>
      <c r="B2" s="44"/>
      <c r="C2" s="44"/>
      <c r="D2" s="44"/>
      <c r="E2" s="44"/>
      <c r="F2" s="44"/>
      <c r="G2" s="44"/>
      <c r="H2" s="44"/>
      <c r="I2" s="44"/>
      <c r="M2" s="68"/>
    </row>
    <row r="3" spans="1:17" ht="18" thickBot="1">
      <c r="A3" s="46" t="str">
        <f>'Sources and Use'!A3</f>
        <v>4% LIHTC and FEMA/CDBG-DR</v>
      </c>
      <c r="B3" s="46"/>
      <c r="C3" s="46"/>
      <c r="D3" s="46"/>
      <c r="E3" s="46"/>
      <c r="F3" s="46"/>
      <c r="G3" s="46"/>
      <c r="H3" s="46"/>
      <c r="I3" s="44"/>
      <c r="M3" s="68"/>
    </row>
    <row r="4" spans="1:17" s="17" customFormat="1" ht="15.75" customHeight="1">
      <c r="A4" s="219" t="s">
        <v>24</v>
      </c>
      <c r="B4" s="219"/>
      <c r="C4" s="219"/>
      <c r="D4" s="219"/>
      <c r="E4" s="219"/>
      <c r="F4" s="219"/>
      <c r="G4" s="219"/>
      <c r="H4" s="219"/>
      <c r="I4" s="219"/>
      <c r="J4"/>
      <c r="K4"/>
      <c r="L4"/>
    </row>
    <row r="5" spans="1:17" s="21" customFormat="1" ht="15.75" customHeight="1">
      <c r="A5" s="198"/>
      <c r="B5" s="198"/>
      <c r="C5" s="198"/>
      <c r="D5" s="198"/>
      <c r="E5" s="198"/>
      <c r="F5" s="198"/>
      <c r="G5" s="198"/>
      <c r="H5" s="198"/>
      <c r="I5" s="198"/>
      <c r="J5"/>
      <c r="K5"/>
      <c r="L5"/>
    </row>
    <row r="6" spans="1:17" s="8" customFormat="1">
      <c r="A6" s="279" t="s">
        <v>40</v>
      </c>
      <c r="B6" s="279"/>
      <c r="C6" s="280"/>
      <c r="D6" s="281"/>
      <c r="E6" s="279"/>
      <c r="F6" s="279"/>
      <c r="G6" s="279"/>
      <c r="H6" s="279"/>
      <c r="I6" s="279"/>
      <c r="J6"/>
      <c r="K6"/>
      <c r="L6"/>
      <c r="Q6" s="8" t="s">
        <v>298</v>
      </c>
    </row>
    <row r="7" spans="1:17" ht="15" customHeight="1">
      <c r="A7" s="250"/>
      <c r="B7" s="1119"/>
      <c r="C7" s="1119"/>
      <c r="D7" s="151"/>
      <c r="E7" s="151"/>
      <c r="F7" s="152"/>
      <c r="G7" s="152"/>
      <c r="H7" s="251"/>
      <c r="I7" s="10"/>
      <c r="M7" s="68"/>
      <c r="P7" s="8">
        <v>0</v>
      </c>
      <c r="Q7" s="8"/>
    </row>
    <row r="8" spans="1:17" ht="16.899999999999999">
      <c r="A8" s="431" t="s">
        <v>25</v>
      </c>
      <c r="B8" s="267" t="s">
        <v>167</v>
      </c>
      <c r="C8" s="267" t="s">
        <v>176</v>
      </c>
      <c r="D8" s="268" t="s">
        <v>96</v>
      </c>
      <c r="E8" s="248"/>
      <c r="I8" s="69"/>
      <c r="M8" s="68"/>
      <c r="P8" s="62">
        <v>1</v>
      </c>
      <c r="Q8" s="407">
        <v>64</v>
      </c>
    </row>
    <row r="9" spans="1:17">
      <c r="A9" s="24" t="s">
        <v>26</v>
      </c>
      <c r="B9" s="434">
        <f t="shared" ref="B9:B14" si="0">H32</f>
        <v>0</v>
      </c>
      <c r="C9" s="245">
        <v>2</v>
      </c>
      <c r="D9" s="438">
        <f t="shared" ref="D9:D14" si="1">PRODUCT(B9:C9)</f>
        <v>0</v>
      </c>
      <c r="E9" s="260"/>
      <c r="I9" s="140"/>
      <c r="M9" s="68"/>
      <c r="P9" s="62">
        <v>2</v>
      </c>
      <c r="Q9" s="407">
        <v>90</v>
      </c>
    </row>
    <row r="10" spans="1:17">
      <c r="A10" s="24" t="s">
        <v>27</v>
      </c>
      <c r="B10" s="435">
        <f t="shared" si="0"/>
        <v>32</v>
      </c>
      <c r="C10" s="245">
        <v>3</v>
      </c>
      <c r="D10" s="439">
        <f t="shared" si="1"/>
        <v>96</v>
      </c>
      <c r="E10" s="260"/>
      <c r="I10" s="140"/>
      <c r="M10" s="68"/>
      <c r="P10" s="62">
        <v>3</v>
      </c>
      <c r="Q10" s="407">
        <v>123</v>
      </c>
    </row>
    <row r="11" spans="1:17">
      <c r="A11" s="24" t="s">
        <v>28</v>
      </c>
      <c r="B11" s="435">
        <f t="shared" si="0"/>
        <v>60</v>
      </c>
      <c r="C11" s="245">
        <v>4</v>
      </c>
      <c r="D11" s="439">
        <f t="shared" si="1"/>
        <v>240</v>
      </c>
      <c r="E11" s="260"/>
      <c r="I11" s="140"/>
      <c r="M11" s="68"/>
      <c r="P11" s="68">
        <v>4</v>
      </c>
      <c r="Q11" s="407">
        <v>151</v>
      </c>
    </row>
    <row r="12" spans="1:17">
      <c r="A12" s="24" t="s">
        <v>29</v>
      </c>
      <c r="B12" s="435">
        <f t="shared" si="0"/>
        <v>38</v>
      </c>
      <c r="C12" s="245">
        <v>5</v>
      </c>
      <c r="D12" s="439">
        <f t="shared" si="1"/>
        <v>190</v>
      </c>
      <c r="E12" s="260"/>
      <c r="I12" s="140"/>
      <c r="M12" s="68"/>
      <c r="P12" s="68">
        <v>5</v>
      </c>
      <c r="Q12" s="407">
        <f>Q11</f>
        <v>151</v>
      </c>
    </row>
    <row r="13" spans="1:17">
      <c r="A13" s="24" t="s">
        <v>30</v>
      </c>
      <c r="B13" s="435">
        <f t="shared" si="0"/>
        <v>6</v>
      </c>
      <c r="C13" s="245">
        <v>6</v>
      </c>
      <c r="D13" s="439">
        <f t="shared" si="1"/>
        <v>36</v>
      </c>
      <c r="E13" s="260"/>
      <c r="I13" s="140"/>
      <c r="M13" s="68"/>
    </row>
    <row r="14" spans="1:17">
      <c r="A14" s="24" t="s">
        <v>168</v>
      </c>
      <c r="B14" s="435">
        <f t="shared" si="0"/>
        <v>0</v>
      </c>
      <c r="C14" s="245">
        <v>7</v>
      </c>
      <c r="D14" s="439">
        <f t="shared" si="1"/>
        <v>0</v>
      </c>
      <c r="E14" s="260"/>
      <c r="I14" s="140"/>
      <c r="M14" s="68"/>
    </row>
    <row r="15" spans="1:17">
      <c r="A15" s="154" t="s">
        <v>66</v>
      </c>
      <c r="B15" s="436">
        <f>SUM(B9:B14)</f>
        <v>136</v>
      </c>
      <c r="C15" s="246"/>
      <c r="D15" s="440">
        <f>SUM(D9:D14)</f>
        <v>562</v>
      </c>
      <c r="E15" s="265"/>
      <c r="I15" s="70"/>
      <c r="M15" s="68"/>
    </row>
    <row r="16" spans="1:17">
      <c r="A16" s="213" t="s">
        <v>99</v>
      </c>
      <c r="B16" s="455">
        <v>0</v>
      </c>
      <c r="C16" s="455">
        <f>C11</f>
        <v>4</v>
      </c>
      <c r="D16" s="441">
        <f>PRODUCT(B16:C16)</f>
        <v>0</v>
      </c>
      <c r="E16" s="561"/>
      <c r="I16" s="140"/>
      <c r="M16" s="68"/>
      <c r="Q16" s="408"/>
    </row>
    <row r="17" spans="1:29">
      <c r="A17" s="154" t="s">
        <v>107</v>
      </c>
      <c r="B17" s="247">
        <f>SUM(B15:B16)</f>
        <v>136</v>
      </c>
      <c r="C17" s="247"/>
      <c r="D17" s="247">
        <f>SUM(D15:D16)</f>
        <v>562</v>
      </c>
      <c r="E17" s="266"/>
      <c r="I17" s="71"/>
      <c r="M17" s="68"/>
    </row>
    <row r="18" spans="1:29">
      <c r="A18" s="29"/>
      <c r="B18" s="10"/>
      <c r="C18" s="10"/>
      <c r="D18" s="10"/>
      <c r="E18" s="406"/>
      <c r="I18" s="10"/>
      <c r="J18">
        <v>0</v>
      </c>
      <c r="K18">
        <v>0</v>
      </c>
      <c r="M18" s="68"/>
    </row>
    <row r="19" spans="1:29" s="8" customFormat="1" hidden="1">
      <c r="A19" s="279" t="s">
        <v>93</v>
      </c>
      <c r="B19" s="279"/>
      <c r="C19" s="280"/>
      <c r="D19" s="281"/>
      <c r="E19" s="279"/>
      <c r="F19" s="279"/>
      <c r="G19" s="279"/>
      <c r="H19" s="279"/>
      <c r="I19" s="279"/>
      <c r="J19">
        <v>1</v>
      </c>
      <c r="K19">
        <v>36</v>
      </c>
      <c r="L19">
        <v>754</v>
      </c>
      <c r="M19" s="8">
        <f>L19*K19</f>
        <v>27144</v>
      </c>
      <c r="P19" s="62"/>
      <c r="Q19" s="62"/>
    </row>
    <row r="20" spans="1:29" s="112" customFormat="1" hidden="1">
      <c r="A20" s="422"/>
      <c r="B20" s="423"/>
      <c r="C20" s="424"/>
      <c r="D20" s="425"/>
      <c r="E20" s="423"/>
      <c r="F20" s="423"/>
      <c r="G20" s="423"/>
      <c r="H20" s="423"/>
      <c r="I20" s="422"/>
      <c r="J20">
        <v>2</v>
      </c>
      <c r="K20">
        <v>88</v>
      </c>
      <c r="L20" s="500">
        <v>928</v>
      </c>
      <c r="M20" s="8">
        <f t="shared" ref="M20:M22" si="2">L20*K20</f>
        <v>81664</v>
      </c>
      <c r="P20" s="8"/>
      <c r="Q20" s="8"/>
    </row>
    <row r="21" spans="1:29" ht="16.5" hidden="1" customHeight="1">
      <c r="A21" s="252"/>
      <c r="B21" s="1117"/>
      <c r="C21" s="1122"/>
      <c r="D21" s="1118"/>
      <c r="E21" s="1117"/>
      <c r="F21" s="1122"/>
      <c r="G21" s="1118"/>
      <c r="H21" s="421" t="s">
        <v>198</v>
      </c>
      <c r="I21"/>
      <c r="J21">
        <v>3</v>
      </c>
      <c r="K21">
        <v>90</v>
      </c>
      <c r="L21" s="500">
        <v>1073</v>
      </c>
      <c r="M21" s="8">
        <f t="shared" si="2"/>
        <v>96570</v>
      </c>
      <c r="P21" s="112"/>
      <c r="Q21" s="112"/>
    </row>
    <row r="22" spans="1:29" ht="27" hidden="1" customHeight="1">
      <c r="A22" s="252"/>
      <c r="B22" s="418" t="s">
        <v>175</v>
      </c>
      <c r="C22" s="419" t="s">
        <v>177</v>
      </c>
      <c r="D22" s="420" t="s">
        <v>169</v>
      </c>
      <c r="E22" s="418" t="s">
        <v>175</v>
      </c>
      <c r="F22" s="419" t="s">
        <v>177</v>
      </c>
      <c r="G22" s="420" t="s">
        <v>169</v>
      </c>
      <c r="H22" s="417" t="s">
        <v>169</v>
      </c>
      <c r="I22" s="10"/>
      <c r="J22">
        <v>4</v>
      </c>
      <c r="K22">
        <v>36</v>
      </c>
      <c r="L22" s="500">
        <v>1247</v>
      </c>
      <c r="M22" s="8">
        <f t="shared" si="2"/>
        <v>44892</v>
      </c>
    </row>
    <row r="23" spans="1:29" s="74" customFormat="1" ht="15.75" hidden="1">
      <c r="A23" s="213"/>
      <c r="B23" s="458"/>
      <c r="C23" s="455"/>
      <c r="D23" s="459"/>
      <c r="E23" s="458"/>
      <c r="F23" s="455"/>
      <c r="G23" s="554"/>
      <c r="H23" s="459"/>
      <c r="I23" s="72"/>
      <c r="J23"/>
      <c r="K23"/>
      <c r="L23" s="500">
        <f t="shared" ref="L23:L24" si="3">K23*H36</f>
        <v>0</v>
      </c>
      <c r="M23" s="73">
        <f>SUM(M19:M22)</f>
        <v>250270</v>
      </c>
      <c r="N23" s="74">
        <f>M23*250</f>
        <v>62567500</v>
      </c>
      <c r="P23" s="62"/>
      <c r="Q23" t="s">
        <v>285</v>
      </c>
    </row>
    <row r="24" spans="1:29" s="74" customFormat="1" hidden="1">
      <c r="A24" s="213"/>
      <c r="B24" s="461"/>
      <c r="C24" s="455"/>
      <c r="D24" s="460">
        <f>C24*B24</f>
        <v>0</v>
      </c>
      <c r="E24" s="461"/>
      <c r="F24" s="455"/>
      <c r="G24" s="460">
        <f>F24*E24</f>
        <v>0</v>
      </c>
      <c r="H24" s="459">
        <f t="shared" ref="H24" si="4">D24+G24</f>
        <v>0</v>
      </c>
      <c r="I24" s="30"/>
      <c r="J24"/>
      <c r="K24"/>
      <c r="L24" s="500">
        <f t="shared" si="3"/>
        <v>0</v>
      </c>
      <c r="M24" s="73"/>
      <c r="N24" s="62">
        <f>N23/totalunits</f>
        <v>460055.14705882355</v>
      </c>
      <c r="O24" s="62"/>
      <c r="Q24" s="74" t="s">
        <v>286</v>
      </c>
      <c r="R24" s="470">
        <v>1.1000000000000001</v>
      </c>
      <c r="S24" s="470">
        <v>1.2</v>
      </c>
    </row>
    <row r="25" spans="1:29" s="74" customFormat="1" ht="21.75" hidden="1" customHeight="1">
      <c r="A25" s="60"/>
      <c r="B25" s="60"/>
      <c r="C25" s="154"/>
      <c r="D25" s="460">
        <f>SUM(D23:D24)</f>
        <v>0</v>
      </c>
      <c r="E25" s="60"/>
      <c r="F25" s="60"/>
      <c r="G25" s="460">
        <f>SUM(G23:G24)</f>
        <v>0</v>
      </c>
      <c r="H25" s="460">
        <f>SUM(H23:H24)</f>
        <v>0</v>
      </c>
      <c r="I25" s="30"/>
      <c r="J25"/>
      <c r="K25"/>
      <c r="L25"/>
      <c r="M25" s="73">
        <f>L25/0.8</f>
        <v>0</v>
      </c>
      <c r="N25" s="161"/>
      <c r="O25" s="161"/>
      <c r="P25" s="74">
        <v>0</v>
      </c>
      <c r="Q25">
        <v>431</v>
      </c>
      <c r="R25" s="74">
        <f>ROUNDDOWN($Q25*R$24, 0)</f>
        <v>474</v>
      </c>
      <c r="S25" s="74">
        <f t="shared" ref="S25:S29" si="5">ROUNDDOWN($Q25*S$24, 0)</f>
        <v>517</v>
      </c>
    </row>
    <row r="26" spans="1:29" s="74" customFormat="1" hidden="1">
      <c r="A26" s="60"/>
      <c r="B26" s="62"/>
      <c r="C26" s="62"/>
      <c r="D26" s="62"/>
      <c r="E26" s="62"/>
      <c r="F26" s="62"/>
      <c r="G26" s="154" t="s">
        <v>200</v>
      </c>
      <c r="H26" s="416">
        <f>SUM(H23:H24)</f>
        <v>0</v>
      </c>
      <c r="I26" s="155">
        <f>H26/$D$42</f>
        <v>0</v>
      </c>
      <c r="J26"/>
      <c r="K26"/>
      <c r="L26"/>
      <c r="M26" s="73">
        <f>M25/H38</f>
        <v>0</v>
      </c>
      <c r="N26" s="62"/>
      <c r="O26" s="62"/>
      <c r="P26" s="161">
        <v>1</v>
      </c>
      <c r="Q26" s="68">
        <v>459</v>
      </c>
      <c r="R26" s="74">
        <f t="shared" ref="R26:R29" si="6">ROUNDDOWN($Q26*R$24, 0)</f>
        <v>504</v>
      </c>
      <c r="S26" s="74">
        <f t="shared" si="5"/>
        <v>550</v>
      </c>
      <c r="Y26" s="470"/>
    </row>
    <row r="27" spans="1:29">
      <c r="A27" s="60"/>
      <c r="B27" s="153"/>
      <c r="C27" s="154"/>
      <c r="E27" s="169"/>
      <c r="F27" s="169"/>
      <c r="G27" s="213"/>
      <c r="H27" s="169"/>
      <c r="I27" s="30"/>
      <c r="M27" s="68"/>
      <c r="P27" s="62">
        <v>2</v>
      </c>
      <c r="Q27" s="62">
        <v>549</v>
      </c>
      <c r="R27" s="74">
        <f t="shared" si="6"/>
        <v>603</v>
      </c>
      <c r="S27" s="74">
        <f t="shared" si="5"/>
        <v>658</v>
      </c>
    </row>
    <row r="28" spans="1:29">
      <c r="A28" s="279" t="s">
        <v>165</v>
      </c>
      <c r="B28" s="279"/>
      <c r="C28" s="280"/>
      <c r="D28" s="279"/>
      <c r="E28" s="279"/>
      <c r="F28" s="279"/>
      <c r="G28" s="279"/>
      <c r="H28" s="574"/>
      <c r="I28" s="574"/>
      <c r="M28" s="68"/>
      <c r="P28" s="62">
        <v>3</v>
      </c>
      <c r="Q28" s="62">
        <v>728</v>
      </c>
      <c r="R28" s="74">
        <f t="shared" si="6"/>
        <v>800</v>
      </c>
      <c r="S28" s="74">
        <f t="shared" si="5"/>
        <v>873</v>
      </c>
    </row>
    <row r="29" spans="1:29">
      <c r="A29" s="253"/>
      <c r="B29" s="156"/>
      <c r="C29" s="156"/>
      <c r="D29" s="156"/>
      <c r="E29" s="156"/>
      <c r="F29" s="74"/>
      <c r="G29" s="74"/>
      <c r="H29" s="74"/>
      <c r="I29" s="74"/>
      <c r="M29" s="68"/>
      <c r="N29" s="68">
        <v>582</v>
      </c>
      <c r="P29" s="62">
        <v>4</v>
      </c>
      <c r="Q29" s="62">
        <v>913</v>
      </c>
      <c r="R29" s="74">
        <f t="shared" si="6"/>
        <v>1004</v>
      </c>
      <c r="S29" s="74">
        <f t="shared" si="5"/>
        <v>1095</v>
      </c>
      <c r="Z29" s="407"/>
    </row>
    <row r="30" spans="1:29">
      <c r="A30" s="211"/>
      <c r="B30" s="1117" t="s">
        <v>405</v>
      </c>
      <c r="C30" s="1118"/>
      <c r="D30" s="1117" t="s">
        <v>406</v>
      </c>
      <c r="E30" s="1118"/>
      <c r="F30" s="1120"/>
      <c r="G30" s="1121"/>
      <c r="H30" s="1117" t="s">
        <v>107</v>
      </c>
      <c r="I30" s="1118"/>
      <c r="J30" s="575"/>
      <c r="K30" s="575" t="s">
        <v>289</v>
      </c>
      <c r="L30" s="8" t="s">
        <v>310</v>
      </c>
      <c r="M30"/>
      <c r="N30"/>
      <c r="O30" s="76"/>
      <c r="P30" s="8">
        <v>544</v>
      </c>
      <c r="Q30" s="8"/>
      <c r="R30" s="68">
        <v>5</v>
      </c>
      <c r="S30" s="62">
        <v>1049</v>
      </c>
      <c r="T30" s="74">
        <f>ROUNDDOWN($S30*R$24, 0)</f>
        <v>1153</v>
      </c>
      <c r="U30" s="74">
        <f>ROUNDDOWN($S30*S$24, 0)</f>
        <v>1258</v>
      </c>
      <c r="AB30" s="407"/>
    </row>
    <row r="31" spans="1:29">
      <c r="A31" s="433" t="s">
        <v>25</v>
      </c>
      <c r="B31" s="437" t="s">
        <v>179</v>
      </c>
      <c r="C31" s="473" t="s">
        <v>631</v>
      </c>
      <c r="D31" s="635"/>
      <c r="E31" s="658" t="s">
        <v>631</v>
      </c>
      <c r="F31" s="264"/>
      <c r="G31" s="475"/>
      <c r="H31" s="414" t="s">
        <v>166</v>
      </c>
      <c r="I31" s="415" t="s">
        <v>169</v>
      </c>
      <c r="J31" s="576" t="s">
        <v>107</v>
      </c>
      <c r="K31" s="706">
        <v>1</v>
      </c>
      <c r="M31"/>
      <c r="N31"/>
      <c r="O31" s="76"/>
      <c r="P31" s="112"/>
      <c r="Q31" s="112"/>
      <c r="R31" s="68"/>
      <c r="S31" s="513"/>
      <c r="T31" s="9">
        <v>582</v>
      </c>
      <c r="AC31" s="407"/>
    </row>
    <row r="32" spans="1:29">
      <c r="A32" s="24" t="s">
        <v>26</v>
      </c>
      <c r="B32" s="456"/>
      <c r="C32" s="457"/>
      <c r="D32" s="456">
        <v>0</v>
      </c>
      <c r="E32" s="636"/>
      <c r="F32" s="456">
        <v>0</v>
      </c>
      <c r="G32" s="457"/>
      <c r="H32" s="457">
        <f>B32+F32+D32</f>
        <v>0</v>
      </c>
      <c r="I32" s="457">
        <f>(B32*C32+F32*G32+D32*E32)*12</f>
        <v>0</v>
      </c>
      <c r="J32" s="456">
        <v>0</v>
      </c>
      <c r="K32" s="577">
        <f>ROUND(J32*$K$31, 0)</f>
        <v>0</v>
      </c>
      <c r="L32" s="469">
        <f>J32-K32</f>
        <v>0</v>
      </c>
      <c r="M32"/>
      <c r="N32"/>
      <c r="O32" s="68"/>
      <c r="P32" s="68"/>
      <c r="Q32" s="68"/>
      <c r="R32" s="8"/>
      <c r="S32" s="9">
        <v>544</v>
      </c>
      <c r="T32" s="614" t="s">
        <v>289</v>
      </c>
      <c r="U32" s="9" t="s">
        <v>288</v>
      </c>
      <c r="W32" s="62" t="s">
        <v>304</v>
      </c>
      <c r="AB32" s="407"/>
    </row>
    <row r="33" spans="1:29">
      <c r="A33" s="24" t="s">
        <v>27</v>
      </c>
      <c r="B33" s="456"/>
      <c r="C33" s="457">
        <f>RADRentComp!H43</f>
        <v>1166</v>
      </c>
      <c r="D33" s="456">
        <v>32</v>
      </c>
      <c r="E33" s="636">
        <f t="shared" ref="E33:E37" si="7">C33</f>
        <v>1166</v>
      </c>
      <c r="F33" s="456"/>
      <c r="G33" s="457"/>
      <c r="H33" s="457">
        <f t="shared" ref="H33:H37" si="8">B33+F33+D33</f>
        <v>32</v>
      </c>
      <c r="I33" s="457">
        <f t="shared" ref="I33:I37" si="9">(B33*C33+F33*G33+D33*E33)*12</f>
        <v>447744</v>
      </c>
      <c r="J33" s="456">
        <v>36</v>
      </c>
      <c r="K33" s="577">
        <f>ROUND(J33*$K$31, 0)</f>
        <v>36</v>
      </c>
      <c r="L33" s="469">
        <f t="shared" ref="L33:L37" si="10">J33-K33</f>
        <v>0</v>
      </c>
      <c r="M33"/>
      <c r="N33"/>
      <c r="O33" s="76"/>
      <c r="P33" s="77"/>
      <c r="Q33" s="77"/>
      <c r="R33" s="112" t="s">
        <v>287</v>
      </c>
      <c r="S33" s="614" t="s">
        <v>289</v>
      </c>
      <c r="T33" s="9">
        <v>427</v>
      </c>
      <c r="U33" s="62">
        <f>ROUND(((S34*$S$32)+(T33*$T$31))/($S$32+$T$31), 0)</f>
        <v>418</v>
      </c>
      <c r="AC33" s="407"/>
    </row>
    <row r="34" spans="1:29" s="8" customFormat="1">
      <c r="A34" s="24" t="s">
        <v>28</v>
      </c>
      <c r="B34" s="456">
        <v>12</v>
      </c>
      <c r="C34" s="457">
        <f>RADRentComp!H44</f>
        <v>1369.13</v>
      </c>
      <c r="D34" s="456">
        <v>48</v>
      </c>
      <c r="E34" s="636">
        <f>C34</f>
        <v>1369.13</v>
      </c>
      <c r="F34" s="456"/>
      <c r="G34" s="457"/>
      <c r="H34" s="457">
        <f t="shared" si="8"/>
        <v>60</v>
      </c>
      <c r="I34" s="457">
        <f t="shared" si="9"/>
        <v>985773.60000000009</v>
      </c>
      <c r="J34" s="456">
        <f>88-1</f>
        <v>87</v>
      </c>
      <c r="K34" s="577">
        <f>ROUND(J34*$K$31, 0)</f>
        <v>87</v>
      </c>
      <c r="L34" s="469">
        <f t="shared" si="10"/>
        <v>0</v>
      </c>
      <c r="M34"/>
      <c r="N34"/>
      <c r="R34" s="74">
        <v>0</v>
      </c>
      <c r="S34" s="9">
        <v>409</v>
      </c>
      <c r="T34" s="9">
        <v>478</v>
      </c>
      <c r="U34" s="513">
        <f>ROUND(((S35*$S$32)+(T34*$T$31))/($S$32+$T$31), 0)</f>
        <v>469</v>
      </c>
      <c r="W34" s="8">
        <f>MIN(R25,U33)</f>
        <v>418</v>
      </c>
      <c r="AC34" s="170"/>
    </row>
    <row r="35" spans="1:29" s="74" customFormat="1">
      <c r="A35" s="24" t="s">
        <v>29</v>
      </c>
      <c r="B35" s="456">
        <v>14</v>
      </c>
      <c r="C35" s="457">
        <f>RADRentComp!H45</f>
        <v>1663.95</v>
      </c>
      <c r="D35" s="456">
        <v>24</v>
      </c>
      <c r="E35" s="636">
        <f t="shared" si="7"/>
        <v>1663.95</v>
      </c>
      <c r="F35" s="456"/>
      <c r="G35" s="457"/>
      <c r="H35" s="457">
        <f t="shared" si="8"/>
        <v>38</v>
      </c>
      <c r="I35" s="457">
        <f t="shared" si="9"/>
        <v>758761.20000000007</v>
      </c>
      <c r="J35" s="456">
        <f>90-1</f>
        <v>89</v>
      </c>
      <c r="K35" s="577">
        <f t="shared" ref="K35:K37" si="11">ROUND(J35*$K$31, 0)</f>
        <v>89</v>
      </c>
      <c r="L35" s="469">
        <f t="shared" si="10"/>
        <v>0</v>
      </c>
      <c r="M35"/>
      <c r="N35"/>
      <c r="O35"/>
      <c r="P35" s="426"/>
      <c r="Q35" s="426"/>
      <c r="R35" s="161">
        <v>1</v>
      </c>
      <c r="S35" s="9">
        <v>459</v>
      </c>
      <c r="T35" s="513">
        <v>575</v>
      </c>
      <c r="U35" s="513">
        <f>ROUND(((S36*$S$32)+(T35*$T$31))/($S$32+$T$31), 0)</f>
        <v>563</v>
      </c>
      <c r="V35" s="427"/>
      <c r="W35" s="8">
        <f>MIN(R26,U34)</f>
        <v>469</v>
      </c>
    </row>
    <row r="36" spans="1:29" s="74" customFormat="1">
      <c r="A36" s="24" t="s">
        <v>30</v>
      </c>
      <c r="B36" s="456"/>
      <c r="C36" s="457">
        <f>RADRentComp!H46</f>
        <v>1801.88</v>
      </c>
      <c r="D36" s="456">
        <v>6</v>
      </c>
      <c r="E36" s="636">
        <f t="shared" si="7"/>
        <v>1801.88</v>
      </c>
      <c r="F36" s="456"/>
      <c r="G36" s="457"/>
      <c r="H36" s="457">
        <f t="shared" si="8"/>
        <v>6</v>
      </c>
      <c r="I36" s="457">
        <f t="shared" si="9"/>
        <v>129735.36000000002</v>
      </c>
      <c r="J36" s="456">
        <v>36</v>
      </c>
      <c r="K36" s="577">
        <f t="shared" si="11"/>
        <v>36</v>
      </c>
      <c r="L36" s="469">
        <f t="shared" si="10"/>
        <v>0</v>
      </c>
      <c r="M36"/>
      <c r="N36"/>
      <c r="O36" s="262"/>
      <c r="P36" s="262"/>
      <c r="Q36" s="262"/>
      <c r="R36" s="513">
        <v>2</v>
      </c>
      <c r="S36" s="513">
        <v>551</v>
      </c>
      <c r="T36" s="513">
        <v>772</v>
      </c>
      <c r="U36" s="513">
        <f>ROUND(((S37*$S$32)+(T36*$T$31))/($S$32+$T$31), 0)</f>
        <v>757</v>
      </c>
      <c r="V36" s="86"/>
      <c r="W36" s="8">
        <f>MIN(R27,U35)</f>
        <v>563</v>
      </c>
    </row>
    <row r="37" spans="1:29" ht="26.55" customHeight="1">
      <c r="A37" s="24" t="s">
        <v>168</v>
      </c>
      <c r="B37" s="456"/>
      <c r="C37" s="457"/>
      <c r="D37" s="456">
        <v>0</v>
      </c>
      <c r="E37" s="636">
        <f t="shared" si="7"/>
        <v>0</v>
      </c>
      <c r="F37" s="456"/>
      <c r="G37" s="457"/>
      <c r="H37" s="457">
        <f t="shared" si="8"/>
        <v>0</v>
      </c>
      <c r="I37" s="457">
        <f t="shared" si="9"/>
        <v>0</v>
      </c>
      <c r="J37" s="456">
        <v>0</v>
      </c>
      <c r="K37" s="577">
        <f t="shared" si="11"/>
        <v>0</v>
      </c>
      <c r="L37" s="469">
        <f t="shared" si="10"/>
        <v>0</v>
      </c>
      <c r="M37"/>
      <c r="N37"/>
      <c r="O37" s="262"/>
      <c r="P37" s="262"/>
      <c r="Q37" s="262"/>
      <c r="R37" s="513">
        <v>3</v>
      </c>
      <c r="S37" s="513">
        <v>740</v>
      </c>
      <c r="T37" s="513">
        <v>938</v>
      </c>
      <c r="U37" s="513">
        <f>ROUND(((S38*$S$32)+(T37*$T$31))/($S$32+$T$31), 0)</f>
        <v>920</v>
      </c>
      <c r="V37" s="86"/>
      <c r="W37" s="8">
        <f>MIN(R28,U36)</f>
        <v>757</v>
      </c>
    </row>
    <row r="38" spans="1:29">
      <c r="A38" s="24" t="s">
        <v>17</v>
      </c>
      <c r="B38" s="432">
        <f>SUM(B32:B37)</f>
        <v>26</v>
      </c>
      <c r="C38" s="259">
        <f>SUMPRODUCT(B32:B37,C32:C37)*12</f>
        <v>476698.32</v>
      </c>
      <c r="D38" s="432">
        <f>SUM(D32:D37)</f>
        <v>110</v>
      </c>
      <c r="E38" s="637"/>
      <c r="F38" s="258">
        <f>SUM(F32:F37)</f>
        <v>0</v>
      </c>
      <c r="G38" s="259">
        <f>SUMPRODUCT(F32:F37,G32:G37)*12</f>
        <v>0</v>
      </c>
      <c r="H38" s="413">
        <f>SUM(H32:H37)</f>
        <v>136</v>
      </c>
      <c r="I38" s="263"/>
      <c r="J38" s="80"/>
      <c r="K38" s="80"/>
      <c r="M38"/>
      <c r="N38"/>
      <c r="O38" s="262"/>
      <c r="P38" s="262"/>
      <c r="Q38" s="262"/>
      <c r="R38" s="513">
        <v>4</v>
      </c>
      <c r="S38" s="513">
        <v>900</v>
      </c>
      <c r="T38" s="513">
        <v>1079</v>
      </c>
      <c r="U38" s="513">
        <f>ROUND(((Q39*$S$32)+(T38*$T$31))/($S$32+$T$31), 0)</f>
        <v>1058</v>
      </c>
      <c r="V38" s="86"/>
      <c r="W38" s="8">
        <f>MIN(R29,U37)</f>
        <v>920</v>
      </c>
    </row>
    <row r="39" spans="1:29">
      <c r="A39" s="171"/>
      <c r="B39" s="24"/>
      <c r="C39" s="24"/>
      <c r="D39" s="157"/>
      <c r="E39" s="157"/>
      <c r="H39" s="513"/>
      <c r="I39" s="513"/>
      <c r="M39" s="262"/>
      <c r="N39" s="262"/>
      <c r="O39" s="262"/>
      <c r="P39" s="68">
        <v>5</v>
      </c>
      <c r="Q39" s="513">
        <v>1035</v>
      </c>
      <c r="R39" s="261"/>
      <c r="S39" s="262"/>
      <c r="T39" s="86"/>
      <c r="U39" s="8">
        <f>MIN(T30,U38)</f>
        <v>1058</v>
      </c>
    </row>
    <row r="40" spans="1:29">
      <c r="C40" s="474"/>
      <c r="E40" s="154" t="s">
        <v>201</v>
      </c>
      <c r="F40" s="154"/>
      <c r="G40" s="154"/>
      <c r="H40" s="241">
        <f>SUM(I32:I37)</f>
        <v>2322014.16</v>
      </c>
      <c r="I40" s="155">
        <f>H40/$D$42</f>
        <v>1</v>
      </c>
      <c r="J40" s="638">
        <f>H40/H38</f>
        <v>17073.633529411767</v>
      </c>
      <c r="M40" s="262"/>
      <c r="N40" s="262"/>
      <c r="O40" s="262"/>
      <c r="P40" s="262"/>
      <c r="Q40" s="86"/>
      <c r="R40" s="261"/>
      <c r="S40" s="262"/>
      <c r="T40" s="86"/>
      <c r="U40" s="261"/>
    </row>
    <row r="41" spans="1:29">
      <c r="A41" s="60"/>
      <c r="B41" s="19"/>
      <c r="C41" s="19"/>
      <c r="E41" s="157"/>
      <c r="F41" s="30"/>
      <c r="G41" s="81"/>
      <c r="H41" s="81"/>
      <c r="I41" s="81"/>
      <c r="M41" s="262"/>
      <c r="N41" s="262"/>
      <c r="O41" s="262"/>
      <c r="P41" s="262"/>
      <c r="Q41" s="86"/>
      <c r="R41" s="614"/>
      <c r="S41" s="262"/>
      <c r="T41" s="86"/>
      <c r="U41" s="261"/>
    </row>
    <row r="42" spans="1:29">
      <c r="A42" s="279" t="s">
        <v>68</v>
      </c>
      <c r="B42" s="279"/>
      <c r="C42" s="280"/>
      <c r="D42" s="428">
        <f>H40+H26</f>
        <v>2322014.16</v>
      </c>
      <c r="E42" s="279"/>
      <c r="F42" s="279"/>
      <c r="G42" s="279"/>
      <c r="H42" s="574"/>
      <c r="I42" s="574"/>
      <c r="O42" s="513"/>
      <c r="P42" s="112" t="s">
        <v>290</v>
      </c>
      <c r="Q42" s="614" t="s">
        <v>289</v>
      </c>
      <c r="R42" s="261"/>
      <c r="S42" s="262"/>
    </row>
    <row r="43" spans="1:29">
      <c r="A43" s="254"/>
      <c r="B43" s="19"/>
      <c r="C43" s="19"/>
      <c r="D43" s="241"/>
      <c r="E43" s="60"/>
      <c r="G43" s="157"/>
      <c r="H43" s="665">
        <f>H40/totalunits</f>
        <v>17073.633529411767</v>
      </c>
      <c r="I43" s="30"/>
      <c r="K43" s="8" t="s">
        <v>490</v>
      </c>
      <c r="L43" s="500"/>
      <c r="M43" s="8" t="s">
        <v>298</v>
      </c>
      <c r="O43" s="513"/>
      <c r="P43" s="74">
        <v>0</v>
      </c>
      <c r="Q43" s="513">
        <v>440</v>
      </c>
      <c r="R43" s="80"/>
      <c r="S43" s="68"/>
      <c r="U43" s="62">
        <f>MIN(Q43,R25)</f>
        <v>440</v>
      </c>
    </row>
    <row r="44" spans="1:29">
      <c r="A44" s="369" t="s">
        <v>181</v>
      </c>
      <c r="B44" s="19"/>
      <c r="C44" s="19"/>
      <c r="D44" s="241"/>
      <c r="E44" s="60"/>
      <c r="G44" s="157"/>
      <c r="I44" s="30"/>
      <c r="K44" s="584">
        <v>1</v>
      </c>
      <c r="L44" s="584">
        <v>1.1000000000000001</v>
      </c>
      <c r="M44" s="8"/>
      <c r="O44" s="513"/>
      <c r="P44" s="161">
        <v>1</v>
      </c>
      <c r="Q44" s="513">
        <v>493</v>
      </c>
      <c r="U44" s="513">
        <f t="shared" ref="U44:U47" si="12">MIN(Q44,R26)</f>
        <v>493</v>
      </c>
    </row>
    <row r="45" spans="1:29">
      <c r="A45" s="171" t="s">
        <v>629</v>
      </c>
      <c r="B45" s="503"/>
      <c r="C45" s="503"/>
      <c r="D45" s="241"/>
      <c r="E45" s="60"/>
      <c r="F45" s="513"/>
      <c r="G45" s="157"/>
      <c r="H45" s="513"/>
      <c r="I45" s="30"/>
      <c r="J45">
        <v>0</v>
      </c>
      <c r="K45" s="500">
        <v>835</v>
      </c>
      <c r="L45" s="500">
        <f>ROUND(K45*$L$44, 0)</f>
        <v>919</v>
      </c>
      <c r="M45" s="80"/>
      <c r="N45" s="80"/>
      <c r="O45" s="80"/>
      <c r="P45" s="513">
        <v>2</v>
      </c>
      <c r="Q45" s="513">
        <v>592</v>
      </c>
      <c r="U45" s="513">
        <f t="shared" si="12"/>
        <v>592</v>
      </c>
    </row>
    <row r="46" spans="1:29">
      <c r="A46" s="171" t="s">
        <v>630</v>
      </c>
      <c r="B46" s="60"/>
      <c r="C46" s="60"/>
      <c r="D46" s="241"/>
      <c r="E46" s="60"/>
      <c r="G46" s="157"/>
      <c r="I46" s="30"/>
      <c r="J46">
        <v>1</v>
      </c>
      <c r="K46" s="500">
        <v>852</v>
      </c>
      <c r="L46" s="500">
        <f t="shared" ref="L46:L50" si="13">ROUND(K46*$L$44, 0)</f>
        <v>937</v>
      </c>
      <c r="M46" s="500"/>
      <c r="N46"/>
      <c r="O46"/>
      <c r="P46" s="513">
        <v>3</v>
      </c>
      <c r="Q46" s="513">
        <v>795</v>
      </c>
      <c r="R46" s="68"/>
      <c r="U46" s="513">
        <f t="shared" si="12"/>
        <v>795</v>
      </c>
    </row>
    <row r="47" spans="1:29">
      <c r="A47" s="171" t="s">
        <v>322</v>
      </c>
      <c r="B47" s="60"/>
      <c r="C47" s="60"/>
      <c r="D47" s="241"/>
      <c r="E47" s="60"/>
      <c r="F47" s="513"/>
      <c r="G47" s="157"/>
      <c r="H47" s="513"/>
      <c r="I47" s="30"/>
      <c r="J47">
        <v>2</v>
      </c>
      <c r="K47" s="500">
        <v>1040</v>
      </c>
      <c r="L47" s="500">
        <f t="shared" si="13"/>
        <v>1144</v>
      </c>
      <c r="M47" s="500"/>
      <c r="N47"/>
      <c r="O47"/>
      <c r="P47" s="513">
        <v>4</v>
      </c>
      <c r="Q47" s="513">
        <v>967</v>
      </c>
      <c r="U47" s="513">
        <f t="shared" si="12"/>
        <v>967</v>
      </c>
    </row>
    <row r="48" spans="1:29" s="513" customFormat="1">
      <c r="A48" s="1110" t="s">
        <v>502</v>
      </c>
      <c r="B48" s="1111" t="s">
        <v>628</v>
      </c>
      <c r="C48" s="8"/>
      <c r="D48"/>
      <c r="E48"/>
      <c r="F48"/>
      <c r="G48"/>
      <c r="H48"/>
      <c r="I48"/>
      <c r="J48" s="500">
        <v>3</v>
      </c>
      <c r="K48" s="500">
        <v>1294</v>
      </c>
      <c r="L48" s="500">
        <f t="shared" si="13"/>
        <v>1423</v>
      </c>
      <c r="M48" s="500"/>
      <c r="N48" s="500"/>
      <c r="O48" s="500"/>
      <c r="U48" s="513">
        <f>MIN(Q48,T30)</f>
        <v>1153</v>
      </c>
    </row>
    <row r="49" spans="1:30" s="8" customFormat="1">
      <c r="A49" s="60">
        <v>0</v>
      </c>
      <c r="B49" s="660">
        <f t="shared" ref="B49:B54" si="14">P71</f>
        <v>103.95</v>
      </c>
      <c r="C49" s="62"/>
      <c r="D49" s="241"/>
      <c r="E49" s="60"/>
      <c r="F49" s="513"/>
      <c r="G49" s="157"/>
      <c r="H49" s="513"/>
      <c r="I49" s="30"/>
      <c r="J49">
        <v>4</v>
      </c>
      <c r="K49" s="500">
        <v>1401</v>
      </c>
      <c r="L49" s="500">
        <f t="shared" si="13"/>
        <v>1541</v>
      </c>
      <c r="M49" s="500"/>
      <c r="N49"/>
      <c r="O49"/>
      <c r="P49" s="68">
        <v>5</v>
      </c>
      <c r="Q49" s="513">
        <v>1112</v>
      </c>
      <c r="R49" s="79"/>
      <c r="S49" s="62"/>
      <c r="U49" s="513"/>
    </row>
    <row r="50" spans="1:30">
      <c r="A50" s="60">
        <v>1</v>
      </c>
      <c r="B50" s="660">
        <f t="shared" si="14"/>
        <v>104.96000000000001</v>
      </c>
      <c r="D50" s="241"/>
      <c r="E50" s="60"/>
      <c r="F50" s="513"/>
      <c r="G50" s="157"/>
      <c r="H50" s="513"/>
      <c r="I50" s="30"/>
      <c r="J50">
        <v>5</v>
      </c>
      <c r="K50" s="500">
        <f>K49*1.15</f>
        <v>1611.1499999999999</v>
      </c>
      <c r="L50" s="500">
        <f t="shared" si="13"/>
        <v>1772</v>
      </c>
      <c r="M50" s="500"/>
      <c r="N50"/>
      <c r="O50"/>
      <c r="P50"/>
      <c r="Q50"/>
      <c r="R50" s="8"/>
      <c r="S50" s="8"/>
    </row>
    <row r="51" spans="1:30">
      <c r="A51" s="60">
        <v>2</v>
      </c>
      <c r="B51" s="660">
        <f t="shared" si="14"/>
        <v>190.86999999999998</v>
      </c>
      <c r="D51" s="241"/>
      <c r="E51" s="60"/>
      <c r="F51" s="513"/>
      <c r="G51" s="157"/>
      <c r="H51" s="513"/>
      <c r="I51" s="30"/>
      <c r="J51" s="557"/>
      <c r="K51" s="558"/>
      <c r="L51" s="558"/>
      <c r="M51" s="241"/>
      <c r="N51" s="60"/>
      <c r="O51" s="513"/>
      <c r="P51" s="157"/>
      <c r="Q51" s="513"/>
      <c r="R51" s="30"/>
      <c r="S51"/>
      <c r="T51"/>
      <c r="U51"/>
      <c r="V51"/>
      <c r="W51"/>
      <c r="X51"/>
      <c r="Y51"/>
      <c r="Z51"/>
      <c r="AA51" s="79"/>
      <c r="AC51" s="407"/>
      <c r="AD51" s="407"/>
    </row>
    <row r="52" spans="1:30">
      <c r="A52" s="60">
        <v>3</v>
      </c>
      <c r="B52" s="660">
        <f t="shared" si="14"/>
        <v>277.05</v>
      </c>
      <c r="D52" s="241"/>
      <c r="E52" s="60"/>
      <c r="F52" s="513"/>
      <c r="G52" s="157"/>
      <c r="H52" s="513"/>
      <c r="I52" s="30"/>
      <c r="M52"/>
      <c r="N52"/>
      <c r="O52"/>
      <c r="P52"/>
      <c r="Q52"/>
      <c r="R52" s="79"/>
      <c r="S52" s="407"/>
      <c r="T52" s="78"/>
      <c r="U52" s="78"/>
    </row>
    <row r="53" spans="1:30">
      <c r="A53" s="60">
        <v>4</v>
      </c>
      <c r="B53" s="660">
        <f t="shared" si="14"/>
        <v>299.62</v>
      </c>
      <c r="D53" s="241"/>
      <c r="E53" s="60"/>
      <c r="F53" s="513"/>
      <c r="G53" s="157"/>
      <c r="H53" s="513"/>
      <c r="I53" s="30"/>
      <c r="M53"/>
      <c r="N53"/>
      <c r="O53"/>
      <c r="P53"/>
      <c r="Q53"/>
      <c r="R53" s="78"/>
      <c r="S53" s="78"/>
    </row>
    <row r="54" spans="1:30">
      <c r="A54" s="667">
        <v>5</v>
      </c>
      <c r="B54" s="1109">
        <f t="shared" si="14"/>
        <v>340.66999999999996</v>
      </c>
      <c r="D54" s="255"/>
      <c r="E54" s="255"/>
      <c r="F54" s="256"/>
      <c r="G54" s="256"/>
      <c r="H54" s="257"/>
      <c r="I54" s="293"/>
      <c r="K54" s="500"/>
      <c r="L54" s="659">
        <v>2.5000000000000001E-2</v>
      </c>
      <c r="M54" s="659">
        <v>2.1999999999999999E-2</v>
      </c>
      <c r="N54"/>
      <c r="O54"/>
      <c r="P54"/>
      <c r="Q54"/>
      <c r="R54" s="79"/>
    </row>
    <row r="55" spans="1:30">
      <c r="A55" s="29"/>
      <c r="B55" s="29"/>
      <c r="C55" s="29"/>
      <c r="D55" s="29"/>
      <c r="E55" s="29"/>
      <c r="F55" s="29"/>
      <c r="G55" s="29"/>
      <c r="H55" s="75"/>
      <c r="I55" s="30"/>
      <c r="K55" s="500"/>
      <c r="L55" s="8" t="s">
        <v>311</v>
      </c>
      <c r="M55" s="8" t="s">
        <v>312</v>
      </c>
      <c r="N55"/>
      <c r="O55"/>
      <c r="P55"/>
      <c r="Q55"/>
      <c r="R55" s="79"/>
    </row>
    <row r="56" spans="1:30" s="8" customFormat="1">
      <c r="A56" s="279" t="s">
        <v>90</v>
      </c>
      <c r="B56" s="280"/>
      <c r="C56" s="281"/>
      <c r="D56" s="279"/>
      <c r="E56" s="279"/>
      <c r="F56" s="279"/>
      <c r="G56" s="279"/>
      <c r="H56" s="279"/>
      <c r="I56" s="279"/>
      <c r="J56"/>
      <c r="K56" s="500">
        <v>777.687109096011</v>
      </c>
      <c r="L56" s="500">
        <f>ROUND(K56*(1+L$54), 0)</f>
        <v>797</v>
      </c>
      <c r="M56" s="500">
        <f t="shared" ref="M56:M61" si="15">ROUND(L56*(1+M$54), 0)</f>
        <v>815</v>
      </c>
      <c r="N56"/>
      <c r="O56"/>
      <c r="P56"/>
      <c r="Q56"/>
      <c r="R56" s="68"/>
      <c r="S56" s="62"/>
    </row>
    <row r="57" spans="1:30" s="112" customFormat="1">
      <c r="A57" s="422"/>
      <c r="B57" s="429"/>
      <c r="C57" s="430"/>
      <c r="D57" s="422"/>
      <c r="E57" s="422"/>
      <c r="F57"/>
      <c r="G57" s="422"/>
      <c r="H57" s="422"/>
      <c r="I57"/>
      <c r="J57"/>
      <c r="K57" s="500">
        <v>793.55827458776628</v>
      </c>
      <c r="L57" s="500">
        <f t="shared" ref="L57" si="16">ROUND(K57*(1+L$54), 0)</f>
        <v>813</v>
      </c>
      <c r="M57" s="500">
        <f t="shared" si="15"/>
        <v>831</v>
      </c>
      <c r="N57"/>
      <c r="O57"/>
      <c r="P57"/>
      <c r="Q57"/>
      <c r="R57" s="8"/>
      <c r="S57" s="8"/>
    </row>
    <row r="58" spans="1:30" ht="15" customHeight="1">
      <c r="A58" s="19"/>
      <c r="B58" s="562" t="s">
        <v>257</v>
      </c>
      <c r="C58" s="562" t="s">
        <v>258</v>
      </c>
      <c r="D58" s="562" t="s">
        <v>126</v>
      </c>
      <c r="E58" s="562" t="s">
        <v>254</v>
      </c>
      <c r="F58"/>
      <c r="H58" s="68"/>
      <c r="I58"/>
      <c r="K58" s="500">
        <v>969.19917269652524</v>
      </c>
      <c r="L58" s="500">
        <f t="shared" ref="L58" si="17">ROUND(K58*(1+L$54), 0)</f>
        <v>993</v>
      </c>
      <c r="M58" s="500">
        <f t="shared" si="15"/>
        <v>1015</v>
      </c>
      <c r="N58"/>
      <c r="O58"/>
      <c r="P58"/>
      <c r="Q58" s="8"/>
      <c r="R58" s="112"/>
      <c r="S58" s="112"/>
    </row>
    <row r="59" spans="1:30">
      <c r="A59" s="6" t="s">
        <v>252</v>
      </c>
      <c r="B59" s="513"/>
      <c r="C59" s="513"/>
      <c r="D59" s="583"/>
      <c r="E59" s="503"/>
      <c r="F59"/>
      <c r="H59" s="68"/>
      <c r="I59"/>
      <c r="K59" s="500">
        <v>1214.6731989690074</v>
      </c>
      <c r="L59" s="500">
        <f t="shared" ref="L59" si="18">ROUND(K59*(1+L$54), 0)</f>
        <v>1245</v>
      </c>
      <c r="M59" s="500">
        <f t="shared" si="15"/>
        <v>1272</v>
      </c>
      <c r="N59"/>
      <c r="O59"/>
      <c r="P59"/>
    </row>
    <row r="60" spans="1:30">
      <c r="A60" t="str">
        <f>'M&amp;O'!B8</f>
        <v>Maintenance Payroll</v>
      </c>
      <c r="B60" s="642">
        <f>D60</f>
        <v>161160</v>
      </c>
      <c r="C60" s="642">
        <f>B60*C$95</f>
        <v>161160</v>
      </c>
      <c r="D60" s="581">
        <f>'M&amp;O'!D8</f>
        <v>161160</v>
      </c>
      <c r="E60" s="563">
        <f>D60/totalunits</f>
        <v>1185</v>
      </c>
      <c r="F60"/>
      <c r="H60" s="68"/>
      <c r="I60"/>
      <c r="K60" s="500">
        <v>1320.4809689140432</v>
      </c>
      <c r="L60" s="500">
        <f t="shared" ref="L60" si="19">ROUND(K60*(1+L$54), 0)</f>
        <v>1353</v>
      </c>
      <c r="M60" s="500">
        <f t="shared" si="15"/>
        <v>1383</v>
      </c>
      <c r="N60"/>
      <c r="O60"/>
      <c r="P60"/>
      <c r="Q60" s="112"/>
    </row>
    <row r="61" spans="1:30">
      <c r="A61" s="500" t="str">
        <f>'M&amp;O'!B9</f>
        <v>Office Payroll</v>
      </c>
      <c r="B61" s="642">
        <f t="shared" ref="B61:B88" si="20">D61</f>
        <v>153544</v>
      </c>
      <c r="C61" s="642">
        <f>B61*C$95</f>
        <v>153544</v>
      </c>
      <c r="D61" s="581">
        <f>'M&amp;O'!D9</f>
        <v>153544</v>
      </c>
      <c r="E61" s="563">
        <f>D61/totalunits</f>
        <v>1129</v>
      </c>
      <c r="F61"/>
      <c r="H61" s="68"/>
      <c r="I61"/>
      <c r="K61" s="500">
        <v>1518.5531142511493</v>
      </c>
      <c r="L61" s="500">
        <f t="shared" ref="L61" si="21">ROUND(K61*(1+L$54), 0)</f>
        <v>1557</v>
      </c>
      <c r="M61" s="500">
        <f t="shared" si="15"/>
        <v>1591</v>
      </c>
      <c r="P61"/>
    </row>
    <row r="62" spans="1:30">
      <c r="A62" s="500" t="str">
        <f>'M&amp;O'!B10</f>
        <v>Payroll Taxes and Benefits</v>
      </c>
      <c r="B62" s="642">
        <f t="shared" si="20"/>
        <v>0</v>
      </c>
      <c r="C62" s="642">
        <f>B62*C$95</f>
        <v>0</v>
      </c>
      <c r="D62" s="581">
        <f>'M&amp;O'!D10</f>
        <v>0</v>
      </c>
      <c r="E62" s="563">
        <f>D62/totalunits</f>
        <v>0</v>
      </c>
      <c r="F62"/>
      <c r="H62" s="68"/>
      <c r="I62"/>
      <c r="L62" s="62"/>
      <c r="P62"/>
    </row>
    <row r="63" spans="1:30" s="513" customFormat="1" ht="15.4">
      <c r="A63" s="564" t="s">
        <v>66</v>
      </c>
      <c r="B63" s="643">
        <f>SUM(B60:B62)</f>
        <v>314704</v>
      </c>
      <c r="C63" s="643">
        <f t="shared" ref="C63:D63" si="22">SUM(C60:C62)</f>
        <v>314704</v>
      </c>
      <c r="D63" s="579">
        <f t="shared" si="22"/>
        <v>314704</v>
      </c>
      <c r="E63" s="565"/>
      <c r="F63" s="500"/>
      <c r="H63" s="68"/>
      <c r="I63"/>
      <c r="J63"/>
      <c r="K63"/>
      <c r="P63" s="289"/>
      <c r="Q63" s="62"/>
      <c r="R63" s="62"/>
      <c r="S63" s="62"/>
    </row>
    <row r="64" spans="1:30" s="513" customFormat="1">
      <c r="A64" s="500"/>
      <c r="B64" s="642"/>
      <c r="C64" s="556"/>
      <c r="D64" s="581"/>
      <c r="E64" s="159"/>
      <c r="F64" s="500"/>
      <c r="H64" s="68"/>
      <c r="I64"/>
      <c r="J64"/>
      <c r="K64"/>
      <c r="L64" s="513">
        <v>1364</v>
      </c>
      <c r="M64" s="513">
        <v>284.2</v>
      </c>
      <c r="N64" s="513">
        <f>L64-M64</f>
        <v>1079.8</v>
      </c>
      <c r="P64" s="664">
        <v>1272</v>
      </c>
      <c r="Q64" s="62" t="s">
        <v>317</v>
      </c>
    </row>
    <row r="65" spans="1:19" s="513" customFormat="1">
      <c r="A65" s="6" t="s">
        <v>87</v>
      </c>
      <c r="B65" s="642"/>
      <c r="C65" s="556"/>
      <c r="D65" s="581"/>
      <c r="E65" s="159"/>
      <c r="F65" s="500"/>
      <c r="H65" s="68"/>
      <c r="I65"/>
      <c r="J65"/>
      <c r="K65"/>
      <c r="L65" s="513">
        <v>1272</v>
      </c>
      <c r="M65" s="513">
        <v>284.2</v>
      </c>
      <c r="P65" s="664">
        <v>284</v>
      </c>
      <c r="Q65" s="513" t="s">
        <v>318</v>
      </c>
    </row>
    <row r="66" spans="1:19">
      <c r="A66" s="500" t="str">
        <f>'M&amp;O'!B11</f>
        <v>Gas (Heat/Cooking)</v>
      </c>
      <c r="B66" s="642">
        <f t="shared" si="20"/>
        <v>0</v>
      </c>
      <c r="C66" s="642">
        <f>B66*C$95</f>
        <v>0</v>
      </c>
      <c r="D66" s="581">
        <f>'M&amp;O'!D11</f>
        <v>0</v>
      </c>
      <c r="E66" s="563">
        <f>D66/totalunits</f>
        <v>0</v>
      </c>
      <c r="F66"/>
      <c r="G66" s="474"/>
      <c r="H66" s="569"/>
      <c r="I66"/>
      <c r="L66" s="62"/>
      <c r="O66"/>
      <c r="P66" s="664">
        <f>P64+P65</f>
        <v>1556</v>
      </c>
      <c r="Q66" s="513" t="s">
        <v>319</v>
      </c>
      <c r="R66" s="513"/>
      <c r="S66" s="513"/>
    </row>
    <row r="67" spans="1:19">
      <c r="A67" s="500" t="str">
        <f>'M&amp;O'!B12</f>
        <v xml:space="preserve">Electric </v>
      </c>
      <c r="B67" s="642">
        <f t="shared" si="20"/>
        <v>24765.062073580004</v>
      </c>
      <c r="C67" s="642">
        <f>B67*C$95</f>
        <v>24765.062073580004</v>
      </c>
      <c r="D67" s="581">
        <f>'M&amp;O'!D12</f>
        <v>24765.062073580004</v>
      </c>
      <c r="E67" s="563">
        <f>D67/totalunits</f>
        <v>182.0960446586765</v>
      </c>
      <c r="F67"/>
      <c r="G67" s="570"/>
      <c r="H67" s="569"/>
      <c r="I67"/>
      <c r="L67" s="62"/>
      <c r="O67"/>
      <c r="P67" s="664">
        <f>L64</f>
        <v>1364</v>
      </c>
      <c r="Q67" s="68" t="s">
        <v>320</v>
      </c>
    </row>
    <row r="68" spans="1:19" ht="17.25" customHeight="1">
      <c r="A68" s="500" t="str">
        <f>'M&amp;O'!B13</f>
        <v>Water and Sewer</v>
      </c>
      <c r="B68" s="642">
        <f t="shared" si="20"/>
        <v>189963.44</v>
      </c>
      <c r="C68" s="642">
        <f>B68*C$95</f>
        <v>189963.44</v>
      </c>
      <c r="D68" s="581">
        <f>'M&amp;O'!D13</f>
        <v>189963.44</v>
      </c>
      <c r="E68" s="563">
        <f>D68/totalunits</f>
        <v>1396.79</v>
      </c>
      <c r="F68"/>
      <c r="H68" s="150"/>
      <c r="I68"/>
      <c r="K68" s="8" t="s">
        <v>298</v>
      </c>
      <c r="L68" s="274"/>
      <c r="O68"/>
      <c r="P68" s="664">
        <f>P67-P65</f>
        <v>1080</v>
      </c>
      <c r="Q68" s="500" t="s">
        <v>321</v>
      </c>
    </row>
    <row r="69" spans="1:19" s="513" customFormat="1" ht="17.25" customHeight="1">
      <c r="A69" s="564" t="s">
        <v>66</v>
      </c>
      <c r="B69" s="643">
        <f>SUM(B66:B68)</f>
        <v>214728.50207357999</v>
      </c>
      <c r="C69" s="643">
        <f t="shared" ref="C69:D69" si="23">SUM(C66:C68)</f>
        <v>214728.50207357999</v>
      </c>
      <c r="D69" s="579">
        <f t="shared" si="23"/>
        <v>214728.50207357999</v>
      </c>
      <c r="E69" s="565"/>
      <c r="F69" s="500"/>
      <c r="H69" s="150"/>
      <c r="I69"/>
      <c r="J69"/>
      <c r="K69"/>
      <c r="O69" s="500"/>
      <c r="P69"/>
      <c r="Q69" s="62"/>
      <c r="R69" s="62"/>
      <c r="S69" s="62"/>
    </row>
    <row r="70" spans="1:19" s="513" customFormat="1">
      <c r="A70" s="500"/>
      <c r="B70" s="642"/>
      <c r="C70" s="556"/>
      <c r="D70" s="581"/>
      <c r="E70" s="159"/>
      <c r="F70" s="500"/>
      <c r="H70" s="150"/>
      <c r="I70"/>
      <c r="J70"/>
      <c r="K70" s="8"/>
      <c r="L70" s="513" t="s">
        <v>313</v>
      </c>
      <c r="M70" s="513" t="s">
        <v>314</v>
      </c>
      <c r="N70" s="513" t="s">
        <v>315</v>
      </c>
      <c r="O70" s="68" t="s">
        <v>316</v>
      </c>
      <c r="P70" s="68" t="s">
        <v>278</v>
      </c>
      <c r="Q70" s="62"/>
    </row>
    <row r="71" spans="1:19" s="513" customFormat="1">
      <c r="A71" s="6" t="s">
        <v>253</v>
      </c>
      <c r="B71" s="642"/>
      <c r="C71" s="556"/>
      <c r="D71" s="581"/>
      <c r="E71" s="159"/>
      <c r="F71" s="500"/>
      <c r="H71" s="150"/>
      <c r="I71"/>
      <c r="J71"/>
      <c r="K71">
        <v>0</v>
      </c>
      <c r="L71" s="513">
        <v>58.62</v>
      </c>
      <c r="M71" s="513">
        <v>24.38</v>
      </c>
      <c r="N71" s="68">
        <v>20.95</v>
      </c>
      <c r="O71" s="500"/>
      <c r="P71" s="500">
        <f>L71+M71+N71+O71</f>
        <v>103.95</v>
      </c>
    </row>
    <row r="72" spans="1:19">
      <c r="A72" s="500" t="str">
        <f>'M&amp;O'!B14</f>
        <v>Insurance</v>
      </c>
      <c r="B72" s="642">
        <f t="shared" si="20"/>
        <v>476000</v>
      </c>
      <c r="C72" s="642">
        <f>B72*C$95</f>
        <v>476000</v>
      </c>
      <c r="D72" s="581">
        <f>'M&amp;O'!D14</f>
        <v>476000</v>
      </c>
      <c r="E72" s="563">
        <f t="shared" ref="E72:E78" si="24">D72/totalunits</f>
        <v>3500</v>
      </c>
      <c r="F72"/>
      <c r="H72" s="68"/>
      <c r="I72"/>
      <c r="K72">
        <v>1</v>
      </c>
      <c r="L72" s="62">
        <v>59.63</v>
      </c>
      <c r="M72" s="62">
        <v>24.38</v>
      </c>
      <c r="N72" s="68">
        <v>20.95</v>
      </c>
      <c r="O72" s="68"/>
      <c r="P72" s="500">
        <f>L72+M72+N72+O72</f>
        <v>104.96000000000001</v>
      </c>
      <c r="Q72" s="513"/>
      <c r="R72" s="513"/>
      <c r="S72" s="513"/>
    </row>
    <row r="73" spans="1:19">
      <c r="A73" s="500" t="str">
        <f>'M&amp;O'!B15</f>
        <v xml:space="preserve">Management Fee </v>
      </c>
      <c r="B73" s="642">
        <f t="shared" si="20"/>
        <v>132354.80712000001</v>
      </c>
      <c r="C73" s="642">
        <f>B73*C$95</f>
        <v>132354.80712000001</v>
      </c>
      <c r="D73" s="581">
        <f>'M&amp;O'!D15</f>
        <v>132354.80712000001</v>
      </c>
      <c r="E73" s="563">
        <f t="shared" si="24"/>
        <v>973.19711117647068</v>
      </c>
      <c r="F73" s="567"/>
      <c r="H73" s="68"/>
      <c r="I73"/>
      <c r="K73">
        <v>2</v>
      </c>
      <c r="L73" s="62">
        <v>68.489999999999995</v>
      </c>
      <c r="M73" s="62">
        <v>97.4</v>
      </c>
      <c r="N73" s="68">
        <v>24.98</v>
      </c>
      <c r="O73" s="68"/>
      <c r="P73" s="500">
        <f t="shared" ref="P73:P76" si="25">L73+M73+N73+O73</f>
        <v>190.86999999999998</v>
      </c>
      <c r="Q73" s="513"/>
    </row>
    <row r="74" spans="1:19">
      <c r="A74" s="500" t="str">
        <f>'M&amp;O'!B17</f>
        <v>General Administrative</v>
      </c>
      <c r="B74" s="642">
        <f t="shared" si="20"/>
        <v>77926.64</v>
      </c>
      <c r="C74" s="642">
        <f>B74*C$95</f>
        <v>77926.64</v>
      </c>
      <c r="D74" s="581">
        <f>'M&amp;O'!D17</f>
        <v>77926.64</v>
      </c>
      <c r="E74" s="563">
        <f t="shared" si="24"/>
        <v>572.99</v>
      </c>
      <c r="F74"/>
      <c r="H74" s="165"/>
      <c r="I74"/>
      <c r="K74">
        <v>3</v>
      </c>
      <c r="L74" s="62">
        <v>77.959999999999994</v>
      </c>
      <c r="M74" s="62">
        <v>170.48</v>
      </c>
      <c r="N74" s="68">
        <v>28.61</v>
      </c>
      <c r="O74" s="68"/>
      <c r="P74" s="500">
        <f t="shared" si="25"/>
        <v>277.05</v>
      </c>
    </row>
    <row r="75" spans="1:19">
      <c r="A75" s="500" t="str">
        <f>'M&amp;O'!B18</f>
        <v>Security Costs</v>
      </c>
      <c r="B75" s="642">
        <f t="shared" si="20"/>
        <v>59976</v>
      </c>
      <c r="C75" s="642">
        <f>B75*C$95</f>
        <v>59976</v>
      </c>
      <c r="D75" s="581">
        <f>'M&amp;O'!D18</f>
        <v>59976</v>
      </c>
      <c r="E75" s="563">
        <f t="shared" si="24"/>
        <v>441</v>
      </c>
      <c r="F75"/>
      <c r="H75" s="68"/>
      <c r="I75"/>
      <c r="K75">
        <v>4</v>
      </c>
      <c r="L75" s="68">
        <v>88.49</v>
      </c>
      <c r="M75" s="68">
        <v>180.11</v>
      </c>
      <c r="N75" s="68">
        <v>31.02</v>
      </c>
      <c r="O75" s="68"/>
      <c r="P75" s="500">
        <f t="shared" si="25"/>
        <v>299.62</v>
      </c>
    </row>
    <row r="76" spans="1:19">
      <c r="A76" s="500" t="str">
        <f>'M&amp;O'!B20</f>
        <v>Social Services</v>
      </c>
      <c r="B76" s="642"/>
      <c r="C76" s="642"/>
      <c r="D76" s="631">
        <f>'M&amp;O'!D20</f>
        <v>39984</v>
      </c>
      <c r="E76" s="563">
        <f t="shared" si="24"/>
        <v>294</v>
      </c>
      <c r="F76" s="500"/>
      <c r="G76" s="513"/>
      <c r="H76" s="68"/>
      <c r="I76" s="500"/>
      <c r="K76">
        <v>5</v>
      </c>
      <c r="L76" s="68">
        <v>98.83</v>
      </c>
      <c r="M76" s="68">
        <v>208</v>
      </c>
      <c r="N76" s="68">
        <v>33.840000000000003</v>
      </c>
      <c r="O76" s="68"/>
      <c r="P76" s="500">
        <f t="shared" si="25"/>
        <v>340.66999999999996</v>
      </c>
    </row>
    <row r="77" spans="1:19">
      <c r="A77" s="500" t="str">
        <f>'M&amp;O'!B21</f>
        <v>Tenant Association Funds</v>
      </c>
      <c r="B77" s="642">
        <f t="shared" si="20"/>
        <v>3400</v>
      </c>
      <c r="C77" s="642">
        <f>B77*C$95</f>
        <v>3400</v>
      </c>
      <c r="D77" s="581">
        <f>'M&amp;O'!D21</f>
        <v>3400</v>
      </c>
      <c r="E77" s="563">
        <f t="shared" si="24"/>
        <v>25</v>
      </c>
      <c r="F77"/>
      <c r="H77" s="68"/>
      <c r="I77"/>
      <c r="L77" s="62"/>
      <c r="O77"/>
      <c r="P77"/>
    </row>
    <row r="78" spans="1:19" s="513" customFormat="1">
      <c r="A78" s="500" t="str">
        <f>'M&amp;O'!B22</f>
        <v>VIHA PBRA Fee</v>
      </c>
      <c r="B78" s="642">
        <f t="shared" si="20"/>
        <v>132192</v>
      </c>
      <c r="C78" s="642">
        <f>B78*C$95</f>
        <v>132192</v>
      </c>
      <c r="D78" s="581">
        <f>'M&amp;O'!D22</f>
        <v>132192</v>
      </c>
      <c r="E78" s="563">
        <f t="shared" si="24"/>
        <v>972</v>
      </c>
      <c r="F78"/>
      <c r="G78" s="62"/>
      <c r="H78" s="68"/>
      <c r="I78"/>
      <c r="J78"/>
      <c r="K78"/>
      <c r="O78" s="500"/>
      <c r="P78"/>
      <c r="Q78" s="62"/>
      <c r="R78" s="62"/>
      <c r="S78" s="62"/>
    </row>
    <row r="79" spans="1:19" s="513" customFormat="1" ht="15.4">
      <c r="A79" s="564" t="s">
        <v>66</v>
      </c>
      <c r="B79" s="643">
        <f>SUM(B72:B78)</f>
        <v>881849.44712000003</v>
      </c>
      <c r="C79" s="643">
        <f>SUM(C72:C78)</f>
        <v>881849.44712000003</v>
      </c>
      <c r="D79" s="579">
        <f>SUM(D72:D78)</f>
        <v>921833.44712000003</v>
      </c>
      <c r="E79" s="565"/>
      <c r="F79" s="500"/>
      <c r="H79" s="68"/>
      <c r="I79"/>
      <c r="J79" s="500"/>
      <c r="K79" s="500"/>
      <c r="O79" s="500"/>
      <c r="P79" s="500"/>
    </row>
    <row r="80" spans="1:19" s="513" customFormat="1">
      <c r="A80" s="500"/>
      <c r="B80" s="642"/>
      <c r="C80" s="556"/>
      <c r="D80" s="581"/>
      <c r="E80" s="159"/>
      <c r="F80" s="500"/>
      <c r="H80" s="68"/>
      <c r="I80"/>
      <c r="J80"/>
      <c r="K80"/>
      <c r="O80" s="500"/>
      <c r="P80"/>
      <c r="Q80" s="62"/>
    </row>
    <row r="81" spans="1:20" s="513" customFormat="1">
      <c r="A81" s="6" t="s">
        <v>121</v>
      </c>
      <c r="B81" s="642"/>
      <c r="C81" s="556"/>
      <c r="D81" s="581"/>
      <c r="E81" s="159"/>
      <c r="F81" s="500"/>
      <c r="H81" s="68"/>
      <c r="I81"/>
      <c r="J81"/>
      <c r="K81"/>
      <c r="O81" s="500"/>
      <c r="P81" s="500"/>
    </row>
    <row r="82" spans="1:20">
      <c r="A82" s="500" t="str">
        <f>'M&amp;O'!B16</f>
        <v>Repairs and Maintenance</v>
      </c>
      <c r="B82" s="642">
        <f t="shared" si="20"/>
        <v>185002.16</v>
      </c>
      <c r="C82" s="642">
        <f>B82*C$95</f>
        <v>185002.16</v>
      </c>
      <c r="D82" s="581">
        <f>'M&amp;O'!D16</f>
        <v>185002.16</v>
      </c>
      <c r="E82" s="563">
        <f>D82/totalunits</f>
        <v>1360.31</v>
      </c>
      <c r="F82"/>
      <c r="H82" s="68"/>
      <c r="I82"/>
      <c r="L82" s="62"/>
      <c r="O82"/>
      <c r="P82" s="500"/>
      <c r="Q82" s="513"/>
      <c r="R82" s="513"/>
      <c r="S82" s="513"/>
    </row>
    <row r="83" spans="1:20" s="513" customFormat="1" ht="15.4">
      <c r="A83" s="564" t="s">
        <v>66</v>
      </c>
      <c r="B83" s="643">
        <f>SUM(B82)</f>
        <v>185002.16</v>
      </c>
      <c r="C83" s="643">
        <f t="shared" ref="C83:D83" si="26">SUM(C82)</f>
        <v>185002.16</v>
      </c>
      <c r="D83" s="579">
        <f t="shared" si="26"/>
        <v>185002.16</v>
      </c>
      <c r="E83" s="565"/>
      <c r="F83" s="500"/>
      <c r="H83" s="68"/>
      <c r="I83"/>
      <c r="J83"/>
      <c r="K83"/>
      <c r="O83" s="500"/>
      <c r="P83" s="500"/>
      <c r="R83" s="62"/>
      <c r="S83" s="62"/>
    </row>
    <row r="84" spans="1:20" s="513" customFormat="1">
      <c r="A84" s="500"/>
      <c r="B84" s="642"/>
      <c r="C84" s="556"/>
      <c r="D84" s="581"/>
      <c r="E84" s="159"/>
      <c r="F84" s="500"/>
      <c r="H84" s="68"/>
      <c r="I84"/>
      <c r="J84"/>
      <c r="K84"/>
      <c r="O84" s="500"/>
      <c r="P84"/>
      <c r="Q84" s="62"/>
    </row>
    <row r="85" spans="1:20">
      <c r="A85" s="500"/>
      <c r="B85" s="642"/>
      <c r="C85" s="556"/>
      <c r="D85" s="631"/>
      <c r="E85" s="159"/>
      <c r="F85" s="500"/>
      <c r="G85" s="513"/>
      <c r="H85" s="68"/>
      <c r="I85" s="500"/>
      <c r="L85" s="62"/>
      <c r="O85"/>
      <c r="P85" s="500"/>
      <c r="Q85" s="513"/>
      <c r="R85" s="513"/>
      <c r="S85" s="513"/>
    </row>
    <row r="86" spans="1:20" s="513" customFormat="1">
      <c r="A86" s="500" t="str">
        <f>'M&amp;O'!B25</f>
        <v>Building Reserve</v>
      </c>
      <c r="B86" s="642"/>
      <c r="C86" s="642"/>
      <c r="D86" s="581">
        <f>'M&amp;O'!D25</f>
        <v>57800</v>
      </c>
      <c r="E86" s="597">
        <f>D86/totalunits</f>
        <v>425</v>
      </c>
      <c r="F86"/>
      <c r="G86" s="62"/>
      <c r="H86" s="68"/>
      <c r="I86"/>
      <c r="J86" s="500"/>
      <c r="K86" s="500"/>
      <c r="O86" s="500"/>
      <c r="P86" s="500"/>
    </row>
    <row r="87" spans="1:20">
      <c r="A87" s="500"/>
      <c r="B87" s="642"/>
      <c r="C87" s="642"/>
      <c r="D87" s="631"/>
      <c r="E87" s="597"/>
      <c r="F87" s="500"/>
      <c r="G87" s="513"/>
      <c r="H87" s="68"/>
      <c r="I87" s="500"/>
      <c r="L87" s="62"/>
      <c r="O87"/>
      <c r="P87" s="500"/>
      <c r="Q87" s="513"/>
    </row>
    <row r="88" spans="1:20" ht="15.4">
      <c r="A88" s="8" t="s">
        <v>255</v>
      </c>
      <c r="B88" s="643">
        <f t="shared" si="20"/>
        <v>0</v>
      </c>
      <c r="C88" s="643">
        <f>B88*C$95</f>
        <v>0</v>
      </c>
      <c r="D88" s="582">
        <f>'M&amp;O'!D26</f>
        <v>0</v>
      </c>
      <c r="E88" s="565">
        <f>D88/totalunits</f>
        <v>0</v>
      </c>
      <c r="F88"/>
      <c r="H88" s="68"/>
      <c r="I88"/>
      <c r="L88" s="62"/>
      <c r="O88"/>
      <c r="P88"/>
    </row>
    <row r="89" spans="1:20">
      <c r="A89" s="500"/>
      <c r="B89" s="556"/>
      <c r="C89" s="556"/>
      <c r="D89" s="578"/>
      <c r="E89" s="60"/>
      <c r="F89"/>
      <c r="H89" s="141"/>
      <c r="I89"/>
      <c r="L89" s="62"/>
      <c r="O89"/>
      <c r="P89"/>
    </row>
    <row r="90" spans="1:20">
      <c r="A90" s="500" t="str">
        <f>'M&amp;O'!B28</f>
        <v>Total</v>
      </c>
      <c r="B90" s="642">
        <f>B63+B69+B79+B83+B86+B88</f>
        <v>1596284.10919358</v>
      </c>
      <c r="C90" s="642">
        <f>C63+C69+C79+C83+C86+C88</f>
        <v>1596284.10919358</v>
      </c>
      <c r="D90" s="580">
        <f>D63+D69+D79+D83+D86+D88</f>
        <v>1694068.10919358</v>
      </c>
      <c r="E90" s="563">
        <f>D90/totalunits</f>
        <v>12456.383155835147</v>
      </c>
      <c r="F90"/>
      <c r="H90" s="141"/>
      <c r="I90"/>
      <c r="L90" s="62"/>
      <c r="O90"/>
      <c r="P90"/>
    </row>
    <row r="91" spans="1:20">
      <c r="A91" s="500"/>
      <c r="B91" s="583"/>
      <c r="C91" s="583"/>
      <c r="D91" s="583"/>
      <c r="E91" s="60"/>
      <c r="F91"/>
      <c r="H91" s="68"/>
      <c r="I91"/>
      <c r="L91" s="62"/>
      <c r="O91"/>
      <c r="P91"/>
    </row>
    <row r="92" spans="1:20">
      <c r="A92" s="30"/>
      <c r="B92" s="292"/>
      <c r="C92" s="292"/>
      <c r="D92" s="292"/>
      <c r="E92" s="90"/>
      <c r="F92"/>
      <c r="G92" s="292"/>
      <c r="H92" s="68"/>
      <c r="I92"/>
      <c r="L92" s="62"/>
      <c r="P92"/>
    </row>
    <row r="93" spans="1:20">
      <c r="A93" s="369" t="s">
        <v>181</v>
      </c>
      <c r="B93" s="85"/>
      <c r="C93" s="85"/>
      <c r="D93" s="85"/>
      <c r="E93" s="85"/>
      <c r="F93" s="85"/>
      <c r="G93" s="83"/>
      <c r="H93" s="68"/>
      <c r="I93"/>
      <c r="L93" s="62"/>
      <c r="P93"/>
    </row>
    <row r="94" spans="1:20">
      <c r="A94" s="171"/>
      <c r="B94" s="177"/>
      <c r="E94" s="29"/>
      <c r="F94" s="29"/>
      <c r="G94" s="30"/>
      <c r="H94" s="68"/>
      <c r="I94"/>
      <c r="L94" s="62"/>
      <c r="P94"/>
      <c r="Q94"/>
    </row>
    <row r="95" spans="1:20">
      <c r="A95" s="29"/>
      <c r="B95" s="72"/>
      <c r="C95" s="487">
        <v>1</v>
      </c>
      <c r="D95" s="72"/>
      <c r="E95" s="72"/>
      <c r="F95" s="72"/>
      <c r="G95" s="72"/>
      <c r="H95" s="68"/>
      <c r="I95"/>
      <c r="M95" s="68"/>
      <c r="P95"/>
      <c r="Q95"/>
      <c r="T95"/>
    </row>
    <row r="96" spans="1:20">
      <c r="A96" s="29"/>
      <c r="D96" s="29"/>
      <c r="E96" s="72"/>
      <c r="F96" s="72"/>
      <c r="G96" s="72"/>
      <c r="H96" s="72"/>
      <c r="I96" s="72"/>
      <c r="M96" s="68"/>
      <c r="P96"/>
      <c r="Q96"/>
      <c r="S96"/>
      <c r="T96"/>
    </row>
    <row r="97" spans="1:20">
      <c r="A97" s="29"/>
      <c r="D97" s="29"/>
      <c r="E97" s="72"/>
      <c r="F97" s="72"/>
      <c r="G97" s="72"/>
      <c r="H97" s="72"/>
      <c r="I97" s="72"/>
      <c r="M97" s="68"/>
      <c r="S97"/>
      <c r="T97"/>
    </row>
    <row r="98" spans="1:20">
      <c r="A98" s="29"/>
      <c r="D98" s="632"/>
      <c r="E98" s="83"/>
      <c r="F98" s="83"/>
      <c r="G98" s="83"/>
      <c r="H98" s="85"/>
      <c r="I98" s="29"/>
      <c r="M98" s="68"/>
      <c r="S98"/>
    </row>
    <row r="99" spans="1:20">
      <c r="A99" s="29"/>
      <c r="B99" s="83"/>
      <c r="C99" s="83"/>
      <c r="D99" s="84"/>
      <c r="E99" s="85"/>
      <c r="F99" s="85"/>
      <c r="G99" s="85"/>
      <c r="H99" s="178"/>
      <c r="I99" s="85"/>
      <c r="M99" s="68"/>
    </row>
    <row r="100" spans="1:20">
      <c r="A100" s="29"/>
      <c r="B100" s="85"/>
      <c r="C100" s="85"/>
      <c r="D100" s="86"/>
      <c r="E100" s="85"/>
      <c r="F100" s="85"/>
      <c r="G100" s="85"/>
      <c r="H100" s="85"/>
      <c r="I100" s="85"/>
      <c r="M100" s="68"/>
    </row>
    <row r="101" spans="1:20">
      <c r="A101" s="30"/>
      <c r="B101" s="87"/>
      <c r="C101" s="87"/>
      <c r="D101" s="84"/>
      <c r="E101" s="85"/>
      <c r="F101" s="85"/>
      <c r="G101" s="85"/>
      <c r="H101" s="85"/>
      <c r="I101" s="85"/>
      <c r="M101" s="68"/>
    </row>
    <row r="102" spans="1:20">
      <c r="A102" s="30"/>
      <c r="B102" s="85"/>
      <c r="C102" s="85"/>
      <c r="D102" s="88"/>
      <c r="E102" s="85"/>
      <c r="F102" s="85"/>
      <c r="G102" s="85"/>
      <c r="H102" s="85"/>
      <c r="I102" s="85"/>
      <c r="M102" s="68"/>
    </row>
    <row r="103" spans="1:20">
      <c r="A103" s="29"/>
      <c r="B103" s="83"/>
      <c r="C103" s="83"/>
      <c r="D103" s="84"/>
      <c r="E103" s="85"/>
      <c r="F103" s="85"/>
      <c r="G103" s="85"/>
      <c r="H103" s="85"/>
      <c r="I103" s="85"/>
      <c r="M103" s="68"/>
    </row>
    <row r="104" spans="1:20">
      <c r="A104" s="29"/>
      <c r="B104" s="87"/>
      <c r="C104" s="87"/>
      <c r="D104" s="84"/>
      <c r="E104" s="10"/>
      <c r="I104" s="30"/>
      <c r="M104" s="68"/>
    </row>
    <row r="105" spans="1:20">
      <c r="A105" s="29"/>
      <c r="B105" s="87"/>
      <c r="C105" s="87"/>
      <c r="D105" s="84"/>
      <c r="E105" s="10"/>
      <c r="I105" s="89"/>
      <c r="M105" s="68"/>
    </row>
    <row r="106" spans="1:20">
      <c r="A106" s="30"/>
      <c r="B106" s="85"/>
      <c r="C106" s="85"/>
      <c r="D106" s="86"/>
      <c r="E106" s="85"/>
      <c r="F106" s="85"/>
      <c r="G106" s="85"/>
      <c r="H106" s="85"/>
      <c r="I106" s="85"/>
      <c r="M106" s="68"/>
    </row>
    <row r="107" spans="1:20">
      <c r="A107" s="30"/>
      <c r="B107" s="85"/>
      <c r="C107" s="85"/>
      <c r="D107" s="84"/>
      <c r="E107" s="85"/>
      <c r="F107" s="85"/>
      <c r="G107" s="85"/>
      <c r="H107" s="85"/>
      <c r="I107" s="85"/>
      <c r="M107" s="68"/>
    </row>
    <row r="108" spans="1:20">
      <c r="A108" s="30"/>
      <c r="B108" s="85"/>
      <c r="C108" s="85"/>
      <c r="D108" s="86"/>
      <c r="E108" s="85"/>
      <c r="F108" s="85"/>
      <c r="G108" s="85"/>
      <c r="H108" s="85"/>
      <c r="I108" s="85"/>
      <c r="M108" s="68"/>
    </row>
    <row r="109" spans="1:20">
      <c r="A109" s="30"/>
      <c r="B109" s="87"/>
      <c r="C109" s="87"/>
      <c r="D109" s="84"/>
      <c r="E109" s="30"/>
      <c r="F109" s="30"/>
      <c r="G109" s="30"/>
      <c r="H109" s="30"/>
      <c r="I109" s="30"/>
      <c r="M109" s="68"/>
    </row>
    <row r="110" spans="1:20">
      <c r="A110" s="30"/>
      <c r="B110" s="29"/>
      <c r="C110" s="29"/>
      <c r="D110" s="84"/>
      <c r="E110" s="30"/>
      <c r="F110" s="30"/>
      <c r="G110" s="30"/>
      <c r="H110" s="30"/>
      <c r="I110" s="30"/>
      <c r="M110" s="68"/>
    </row>
    <row r="111" spans="1:20">
      <c r="A111" s="30"/>
      <c r="B111" s="83"/>
      <c r="C111" s="83"/>
      <c r="D111" s="84"/>
      <c r="E111" s="85"/>
      <c r="F111" s="85"/>
      <c r="G111" s="85"/>
      <c r="H111" s="85"/>
      <c r="I111" s="85"/>
      <c r="M111" s="68"/>
    </row>
    <row r="112" spans="1:20">
      <c r="A112" s="30"/>
      <c r="B112" s="83"/>
      <c r="C112" s="83"/>
      <c r="D112" s="84"/>
      <c r="E112" s="85"/>
      <c r="F112" s="85"/>
      <c r="G112" s="85"/>
      <c r="H112" s="85"/>
      <c r="I112" s="85"/>
      <c r="M112" s="68"/>
    </row>
    <row r="113" spans="1:13">
      <c r="A113" s="30"/>
      <c r="B113" s="85"/>
      <c r="C113" s="85"/>
      <c r="D113" s="86"/>
      <c r="E113" s="85"/>
      <c r="F113" s="85"/>
      <c r="G113" s="85"/>
      <c r="H113" s="85"/>
      <c r="I113" s="85"/>
      <c r="M113" s="68"/>
    </row>
    <row r="114" spans="1:13">
      <c r="A114" s="10"/>
      <c r="B114" s="11"/>
      <c r="C114" s="11"/>
      <c r="D114" s="86"/>
      <c r="E114" s="85"/>
      <c r="F114" s="85"/>
      <c r="G114" s="85"/>
      <c r="H114" s="85"/>
      <c r="I114" s="85"/>
      <c r="M114" s="68"/>
    </row>
    <row r="115" spans="1:13">
      <c r="A115" s="30"/>
      <c r="B115" s="85"/>
      <c r="C115" s="85"/>
      <c r="D115" s="86"/>
      <c r="E115" s="85"/>
      <c r="F115" s="85"/>
      <c r="G115" s="85"/>
      <c r="H115" s="85"/>
      <c r="I115" s="85"/>
      <c r="M115" s="68"/>
    </row>
    <row r="116" spans="1:13">
      <c r="A116" s="30"/>
      <c r="B116" s="85"/>
      <c r="C116" s="85"/>
      <c r="D116" s="86"/>
      <c r="E116" s="90"/>
      <c r="I116" s="30"/>
      <c r="M116" s="68"/>
    </row>
    <row r="117" spans="1:13">
      <c r="A117" s="30"/>
      <c r="B117" s="85"/>
      <c r="C117" s="85"/>
      <c r="D117" s="86"/>
      <c r="E117" s="90"/>
      <c r="F117" s="90"/>
      <c r="G117" s="90"/>
      <c r="H117" s="90"/>
      <c r="I117" s="90"/>
      <c r="M117" s="68"/>
    </row>
    <row r="118" spans="1:13">
      <c r="A118" s="30"/>
      <c r="B118" s="85"/>
      <c r="C118" s="85"/>
      <c r="D118" s="86"/>
      <c r="E118" s="30"/>
      <c r="I118" s="30"/>
      <c r="M118" s="68"/>
    </row>
    <row r="119" spans="1:13">
      <c r="A119" s="30"/>
      <c r="B119" s="91"/>
      <c r="C119" s="91"/>
      <c r="D119" s="86"/>
      <c r="E119" s="85"/>
      <c r="F119" s="85"/>
      <c r="G119" s="85"/>
      <c r="H119" s="85"/>
      <c r="I119" s="85"/>
      <c r="M119" s="68"/>
    </row>
    <row r="120" spans="1:13">
      <c r="A120" s="30"/>
      <c r="B120" s="90"/>
      <c r="C120" s="90"/>
      <c r="D120" s="86"/>
      <c r="E120" s="30"/>
      <c r="I120" s="30"/>
      <c r="M120" s="68"/>
    </row>
    <row r="121" spans="1:13">
      <c r="A121" s="30"/>
      <c r="B121" s="68"/>
      <c r="C121" s="68"/>
      <c r="D121" s="68"/>
      <c r="E121" s="85"/>
      <c r="F121" s="85"/>
      <c r="G121" s="85"/>
      <c r="H121" s="85"/>
      <c r="I121" s="85"/>
      <c r="M121" s="68"/>
    </row>
    <row r="122" spans="1:13">
      <c r="A122" s="30"/>
      <c r="B122" s="68"/>
      <c r="C122" s="68"/>
      <c r="D122" s="68"/>
      <c r="M122" s="68"/>
    </row>
    <row r="123" spans="1:13">
      <c r="A123" s="30"/>
      <c r="B123" s="68"/>
      <c r="C123" s="68"/>
      <c r="D123" s="68"/>
      <c r="E123" s="85"/>
      <c r="F123" s="85"/>
      <c r="G123" s="85"/>
      <c r="H123" s="85"/>
      <c r="I123" s="85"/>
      <c r="M123" s="68"/>
    </row>
    <row r="124" spans="1:13">
      <c r="A124" s="30"/>
      <c r="B124" s="68"/>
      <c r="C124" s="68"/>
      <c r="D124" s="68"/>
      <c r="E124" s="85"/>
      <c r="F124" s="85"/>
      <c r="G124" s="85"/>
      <c r="H124" s="85"/>
      <c r="I124" s="85"/>
      <c r="M124" s="68"/>
    </row>
    <row r="125" spans="1:13">
      <c r="A125" s="30"/>
      <c r="B125" s="68"/>
      <c r="C125" s="68"/>
      <c r="D125" s="68"/>
      <c r="E125" s="85"/>
      <c r="F125" s="85"/>
      <c r="G125" s="85"/>
      <c r="H125" s="85"/>
      <c r="I125" s="85"/>
    </row>
    <row r="127" spans="1:13">
      <c r="E127" s="85"/>
      <c r="F127" s="85"/>
      <c r="G127" s="85"/>
      <c r="H127" s="85"/>
      <c r="I127" s="85"/>
    </row>
    <row r="128" spans="1:13">
      <c r="E128" s="85"/>
      <c r="F128" s="85"/>
      <c r="G128" s="85"/>
      <c r="H128" s="85"/>
      <c r="I128" s="85"/>
    </row>
    <row r="129" spans="1:9">
      <c r="A129" s="82"/>
      <c r="B129" s="29"/>
      <c r="C129" s="29"/>
    </row>
    <row r="130" spans="1:9">
      <c r="A130" s="29"/>
      <c r="E130" s="72"/>
      <c r="F130" s="72"/>
      <c r="G130" s="72"/>
      <c r="H130" s="72"/>
      <c r="I130" s="72"/>
    </row>
    <row r="131" spans="1:9">
      <c r="A131" s="29"/>
      <c r="D131" s="29"/>
      <c r="E131" s="72"/>
      <c r="F131" s="72"/>
      <c r="G131" s="72"/>
      <c r="H131" s="72"/>
      <c r="I131" s="72"/>
    </row>
    <row r="132" spans="1:9">
      <c r="A132" s="29"/>
      <c r="D132" s="29"/>
      <c r="E132" s="72"/>
      <c r="F132" s="72"/>
      <c r="G132" s="72"/>
      <c r="H132" s="72"/>
      <c r="I132" s="72"/>
    </row>
    <row r="133" spans="1:9">
      <c r="A133" s="29"/>
      <c r="B133" s="87"/>
      <c r="C133" s="87"/>
      <c r="D133" s="84"/>
      <c r="E133" s="10"/>
      <c r="I133" s="89"/>
    </row>
    <row r="134" spans="1:9">
      <c r="A134" s="30"/>
      <c r="B134" s="85"/>
      <c r="C134" s="85"/>
      <c r="D134" s="86"/>
      <c r="E134" s="92"/>
      <c r="F134" s="92"/>
      <c r="G134" s="92"/>
      <c r="H134" s="92"/>
      <c r="I134" s="92"/>
    </row>
    <row r="135" spans="1:9">
      <c r="A135" s="30"/>
      <c r="B135" s="85"/>
      <c r="C135" s="85"/>
      <c r="D135" s="84"/>
      <c r="E135" s="92"/>
      <c r="F135" s="92"/>
      <c r="G135" s="92"/>
      <c r="H135" s="92"/>
      <c r="I135" s="92"/>
    </row>
    <row r="136" spans="1:9">
      <c r="A136" s="30"/>
      <c r="B136" s="85"/>
      <c r="C136" s="85"/>
      <c r="D136" s="84"/>
      <c r="E136" s="92"/>
      <c r="F136" s="92"/>
      <c r="G136" s="92"/>
      <c r="H136" s="92"/>
      <c r="I136" s="92"/>
    </row>
    <row r="137" spans="1:9">
      <c r="A137" s="30"/>
      <c r="B137" s="85"/>
      <c r="C137" s="85"/>
      <c r="D137" s="86"/>
      <c r="E137" s="92"/>
      <c r="F137" s="92"/>
      <c r="G137" s="92"/>
      <c r="H137" s="92"/>
      <c r="I137" s="92"/>
    </row>
    <row r="138" spans="1:9">
      <c r="A138" s="30"/>
      <c r="B138" s="87"/>
      <c r="C138" s="87"/>
      <c r="D138" s="84"/>
      <c r="E138" s="30"/>
      <c r="F138" s="30"/>
      <c r="G138" s="30"/>
      <c r="H138" s="30"/>
      <c r="I138" s="30"/>
    </row>
    <row r="139" spans="1:9">
      <c r="A139" s="30"/>
      <c r="B139" s="29"/>
      <c r="C139" s="29"/>
      <c r="D139" s="84"/>
      <c r="E139" s="92"/>
      <c r="F139" s="92"/>
      <c r="G139" s="92"/>
      <c r="H139" s="92"/>
      <c r="I139" s="92"/>
    </row>
    <row r="140" spans="1:9">
      <c r="A140" s="30"/>
      <c r="B140" s="85"/>
      <c r="C140" s="85"/>
      <c r="D140" s="86"/>
      <c r="E140" s="85"/>
      <c r="F140" s="85"/>
      <c r="G140" s="85"/>
      <c r="H140" s="85"/>
      <c r="I140" s="85"/>
    </row>
    <row r="141" spans="1:9">
      <c r="A141" s="30"/>
      <c r="B141" s="85"/>
      <c r="C141" s="85"/>
      <c r="D141" s="86"/>
      <c r="E141" s="90"/>
      <c r="I141" s="30"/>
    </row>
    <row r="142" spans="1:9">
      <c r="A142" s="30"/>
      <c r="B142" s="85"/>
      <c r="C142" s="85"/>
      <c r="D142" s="86"/>
      <c r="E142" s="90"/>
      <c r="F142" s="90"/>
      <c r="G142" s="90"/>
      <c r="H142" s="90"/>
      <c r="I142" s="90"/>
    </row>
    <row r="143" spans="1:9">
      <c r="A143" s="30"/>
      <c r="B143" s="85"/>
      <c r="C143" s="85"/>
      <c r="D143" s="86"/>
      <c r="E143" s="30"/>
      <c r="I143" s="30"/>
    </row>
    <row r="144" spans="1:9">
      <c r="A144" s="30"/>
      <c r="B144" s="91"/>
      <c r="C144" s="91"/>
      <c r="D144" s="86"/>
      <c r="E144" s="85"/>
      <c r="F144" s="85"/>
      <c r="G144" s="85"/>
      <c r="H144" s="85"/>
      <c r="I144" s="85"/>
    </row>
    <row r="145" spans="1:9">
      <c r="A145" s="30"/>
      <c r="B145" s="90"/>
      <c r="C145" s="90"/>
      <c r="D145" s="86"/>
      <c r="E145" s="30"/>
      <c r="I145" s="30"/>
    </row>
    <row r="146" spans="1:9">
      <c r="A146" s="30"/>
      <c r="B146" s="68"/>
      <c r="C146" s="68"/>
      <c r="D146" s="68"/>
      <c r="E146" s="85"/>
      <c r="F146" s="85"/>
      <c r="G146" s="85"/>
      <c r="H146" s="85"/>
      <c r="I146" s="85"/>
    </row>
    <row r="149" spans="1:9">
      <c r="B149" s="93"/>
      <c r="C149" s="93"/>
      <c r="D149" s="94"/>
      <c r="E149" s="94"/>
      <c r="F149" s="95"/>
      <c r="G149" s="95"/>
      <c r="H149" s="95"/>
    </row>
  </sheetData>
  <customSheetViews>
    <customSheetView guid="{25C4E7E7-1006-4A2D-BC83-AEE4ADF8A914}" scale="75" colorId="22" showPageBreaks="1" fitToPage="1" printArea="1" showRuler="0" topLeftCell="A28">
      <selection activeCell="F39" sqref="F39"/>
      <pageMargins left="0.7" right="0.7" top="0.75" bottom="0.75" header="0.3" footer="0.3"/>
      <headerFooter alignWithMargins="0"/>
    </customSheetView>
    <customSheetView guid="{28F81D13-D146-4D67-8981-BA5D7A496326}" scale="87" colorId="22" showPageBreaks="1" fitToPage="1" printArea="1" showRuler="0" topLeftCell="A37">
      <selection activeCell="C33" sqref="C33"/>
      <pageMargins left="0.7" right="0.7" top="0.75" bottom="0.75" header="0.3" footer="0.3"/>
      <headerFooter alignWithMargins="0"/>
    </customSheetView>
    <customSheetView guid="{AEA5979F-5357-4ED6-A6CA-1BB80F5C7A74}" scale="87" colorId="22" showPageBreaks="1" fitToPage="1" printArea="1" showRuler="0" topLeftCell="A10">
      <selection activeCell="B28" sqref="B28"/>
      <pageMargins left="0.7" right="0.7" top="0.75" bottom="0.75" header="0.3" footer="0.3"/>
      <headerFooter alignWithMargins="0"/>
    </customSheetView>
    <customSheetView guid="{EB776EFC-3589-4DB5-BEAF-1E83D9703F9E}" scale="87" colorId="22" fitToPage="1" showRuler="0" topLeftCell="A38">
      <selection activeCell="A59" sqref="A59"/>
      <pageMargins left="0.7" right="0.7" top="0.75" bottom="0.75" header="0.3" footer="0.3"/>
      <headerFooter alignWithMargins="0"/>
    </customSheetView>
    <customSheetView guid="{FBB4BF8E-8A9F-4E98-A6F9-5F9BF4C55C67}" scale="87" colorId="22" showPageBreaks="1" fitToPage="1" printArea="1" showRuler="0" topLeftCell="A14">
      <selection activeCell="C29" sqref="C29"/>
      <pageMargins left="0.7" right="0.7" top="0.75" bottom="0.75" header="0.3" footer="0.3"/>
      <headerFooter alignWithMargins="0"/>
    </customSheetView>
    <customSheetView guid="{6EF643BE-69F3-424E-8A44-3890161370D4}" scale="87" colorId="22" showPageBreaks="1" fitToPage="1" printArea="1" showRuler="0" topLeftCell="A40">
      <selection activeCell="D42" sqref="D42"/>
      <pageMargins left="0.7" right="0.7" top="0.75" bottom="0.75" header="0.3" footer="0.3"/>
      <headerFooter alignWithMargins="0"/>
    </customSheetView>
    <customSheetView guid="{1ECE83C7-A3CE-4F97-BFD3-498FF783C0D9}" scale="75" colorId="22" showPageBreaks="1" fitToPage="1" printArea="1" showRuler="0">
      <selection activeCell="H29" sqref="H29"/>
      <pageMargins left="0.7" right="0.7" top="0.75" bottom="0.75" header="0.3" footer="0.3"/>
      <headerFooter alignWithMargins="0"/>
    </customSheetView>
    <customSheetView guid="{560D4AFA-61E5-46C3-B0CD-D0EB3053A033}" scale="75" colorId="22" showPageBreaks="1" fitToPage="1" printArea="1" showRuler="0" topLeftCell="A4">
      <selection activeCell="B5" sqref="B5"/>
      <pageMargins left="0.7" right="0.7" top="0.75" bottom="0.75" header="0.3" footer="0.3"/>
      <headerFooter alignWithMargins="0"/>
    </customSheetView>
  </customSheetViews>
  <mergeCells count="7">
    <mergeCell ref="H30:I30"/>
    <mergeCell ref="B7:C7"/>
    <mergeCell ref="B30:C30"/>
    <mergeCell ref="F30:G30"/>
    <mergeCell ref="B21:D21"/>
    <mergeCell ref="E21:G21"/>
    <mergeCell ref="D30:E30"/>
  </mergeCells>
  <phoneticPr fontId="0" type="noConversion"/>
  <pageMargins left="0.5" right="0.5" top="0.5" bottom="0.4" header="0.3" footer="0.3"/>
  <pageSetup scale="59" fitToHeight="2" orientation="landscape" r:id="rId1"/>
  <headerFooter alignWithMargins="0">
    <oddFooter>&amp;R&amp;10&amp;P of &amp;N</oddFooter>
  </headerFooter>
  <rowBreaks count="1" manualBreakCount="1">
    <brk id="54" max="8" man="1"/>
  </rowBreaks>
  <ignoredErrors>
    <ignoredError sqref="C38 F38:G38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1769C-EE2D-47BE-BC95-2978F2C38602}">
  <sheetPr published="0">
    <pageSetUpPr fitToPage="1"/>
  </sheetPr>
  <dimension ref="B1:Q72"/>
  <sheetViews>
    <sheetView view="pageBreakPreview" zoomScale="85" zoomScaleNormal="100" zoomScaleSheetLayoutView="85" workbookViewId="0">
      <selection activeCell="I23" sqref="I23"/>
    </sheetView>
  </sheetViews>
  <sheetFormatPr defaultRowHeight="15"/>
  <cols>
    <col min="1" max="1" width="4.27734375" customWidth="1"/>
    <col min="5" max="5" width="10.6640625" customWidth="1"/>
    <col min="6" max="6" width="10.27734375" customWidth="1"/>
    <col min="7" max="7" width="12.0546875" customWidth="1"/>
    <col min="8" max="8" width="10.83203125" style="500" customWidth="1"/>
    <col min="10" max="10" width="9.94140625" style="500" customWidth="1"/>
    <col min="11" max="11" width="9.77734375" customWidth="1"/>
    <col min="12" max="12" width="4.27734375" style="500" customWidth="1"/>
    <col min="14" max="14" width="8.6640625" style="500" customWidth="1"/>
    <col min="15" max="15" width="5.44140625" style="500" customWidth="1"/>
    <col min="16" max="16" width="9.27734375" bestFit="1" customWidth="1"/>
  </cols>
  <sheetData>
    <row r="1" spans="2:17" s="44" customFormat="1" ht="17.649999999999999">
      <c r="B1" s="44" t="str">
        <f>'Sources and Use'!A1</f>
        <v>MDG Design and Construction</v>
      </c>
    </row>
    <row r="2" spans="2:17" s="44" customFormat="1" ht="17.649999999999999">
      <c r="B2" s="44" t="str">
        <f>'Sources and Use'!A2</f>
        <v>Virgin Islands: Piggy/Hamilton RAD</v>
      </c>
    </row>
    <row r="3" spans="2:17" s="46" customFormat="1" ht="18" thickBot="1">
      <c r="B3" s="46" t="str">
        <f>'Sources and Use'!A3</f>
        <v>4% LIHTC and FEMA/CDBG-DR</v>
      </c>
    </row>
    <row r="4" spans="2:17" s="48" customFormat="1">
      <c r="B4" s="48" t="s">
        <v>506</v>
      </c>
    </row>
    <row r="5" spans="2:17" s="500" customFormat="1"/>
    <row r="6" spans="2:17" s="500" customFormat="1">
      <c r="B6" s="6" t="s">
        <v>599</v>
      </c>
    </row>
    <row r="7" spans="2:17" ht="73.900000000000006" customHeight="1">
      <c r="B7" s="500"/>
      <c r="C7" s="835" t="s">
        <v>501</v>
      </c>
      <c r="D7" s="835"/>
      <c r="E7" s="835" t="s">
        <v>490</v>
      </c>
      <c r="F7" s="835" t="s">
        <v>490</v>
      </c>
      <c r="G7" s="835" t="s">
        <v>490</v>
      </c>
      <c r="H7" s="835" t="s">
        <v>508</v>
      </c>
      <c r="I7" s="835"/>
      <c r="J7" s="835" t="s">
        <v>503</v>
      </c>
      <c r="K7" s="835" t="s">
        <v>505</v>
      </c>
      <c r="L7" s="835"/>
      <c r="M7" s="835" t="s">
        <v>504</v>
      </c>
      <c r="N7" s="835" t="s">
        <v>505</v>
      </c>
      <c r="O7"/>
      <c r="P7" s="835" t="s">
        <v>507</v>
      </c>
      <c r="Q7" s="500"/>
    </row>
    <row r="8" spans="2:17">
      <c r="B8" s="500"/>
      <c r="D8" s="500"/>
      <c r="E8" s="584">
        <v>1</v>
      </c>
      <c r="F8" s="584">
        <v>1.1000000000000001</v>
      </c>
      <c r="G8" s="584">
        <v>1.2</v>
      </c>
      <c r="H8"/>
      <c r="I8" s="500"/>
      <c r="J8"/>
      <c r="K8" s="500"/>
      <c r="O8"/>
      <c r="P8" s="500"/>
      <c r="Q8" s="500"/>
    </row>
    <row r="9" spans="2:17">
      <c r="B9" s="500">
        <v>0</v>
      </c>
      <c r="C9" s="834">
        <v>1143</v>
      </c>
      <c r="D9" s="834"/>
      <c r="E9" s="834">
        <v>835</v>
      </c>
      <c r="F9" s="834">
        <f t="shared" ref="F9:F14" si="0">E9*$F$8</f>
        <v>918.50000000000011</v>
      </c>
      <c r="G9" s="834">
        <f t="shared" ref="G9:G14" si="1">E9*$G$8</f>
        <v>1002</v>
      </c>
      <c r="H9" s="834">
        <f t="shared" ref="H9:H14" si="2">-G66</f>
        <v>-103.95</v>
      </c>
      <c r="I9" s="834"/>
      <c r="J9" s="834">
        <f t="shared" ref="J9:J14" si="3">F9+H9</f>
        <v>814.55000000000007</v>
      </c>
      <c r="K9" s="834">
        <f t="shared" ref="K9:K14" si="4">J9-C9</f>
        <v>-328.44999999999993</v>
      </c>
      <c r="L9" s="834"/>
      <c r="M9" s="834">
        <f>G9+H9</f>
        <v>898.05</v>
      </c>
      <c r="N9" s="834">
        <f t="shared" ref="N9:N14" si="5">M9-C9</f>
        <v>-244.95000000000005</v>
      </c>
      <c r="O9"/>
      <c r="P9" s="842">
        <f>C9/(E9+H9)</f>
        <v>1.5635045482525136</v>
      </c>
      <c r="Q9" s="500"/>
    </row>
    <row r="10" spans="2:17">
      <c r="B10" s="500">
        <v>1</v>
      </c>
      <c r="C10" s="834">
        <v>1166</v>
      </c>
      <c r="D10" s="834"/>
      <c r="E10" s="834">
        <v>852</v>
      </c>
      <c r="F10" s="834">
        <f t="shared" si="0"/>
        <v>937.2</v>
      </c>
      <c r="G10" s="834">
        <f t="shared" si="1"/>
        <v>1022.4</v>
      </c>
      <c r="H10" s="834">
        <f t="shared" si="2"/>
        <v>-104.96000000000001</v>
      </c>
      <c r="I10" s="834"/>
      <c r="J10" s="834">
        <f t="shared" si="3"/>
        <v>832.24</v>
      </c>
      <c r="K10" s="834">
        <f t="shared" si="4"/>
        <v>-333.76</v>
      </c>
      <c r="L10" s="834"/>
      <c r="M10" s="834">
        <f t="shared" ref="M10:M14" si="6">G10+H10</f>
        <v>917.43999999999994</v>
      </c>
      <c r="N10" s="834">
        <f t="shared" si="5"/>
        <v>-248.56000000000006</v>
      </c>
      <c r="O10"/>
      <c r="P10" s="842">
        <f t="shared" ref="P10:P13" si="7">C10/(E10+H10)</f>
        <v>1.5608267294923968</v>
      </c>
      <c r="Q10" s="500"/>
    </row>
    <row r="11" spans="2:17">
      <c r="B11" s="500">
        <v>2</v>
      </c>
      <c r="C11" s="834">
        <v>1424</v>
      </c>
      <c r="D11" s="834"/>
      <c r="E11" s="834">
        <v>1040</v>
      </c>
      <c r="F11" s="834">
        <f t="shared" si="0"/>
        <v>1144</v>
      </c>
      <c r="G11" s="834">
        <f t="shared" si="1"/>
        <v>1248</v>
      </c>
      <c r="H11" s="834">
        <f t="shared" si="2"/>
        <v>-190.86999999999998</v>
      </c>
      <c r="I11" s="834"/>
      <c r="J11" s="834">
        <f t="shared" si="3"/>
        <v>953.13</v>
      </c>
      <c r="K11" s="834">
        <f t="shared" si="4"/>
        <v>-470.87</v>
      </c>
      <c r="L11" s="834"/>
      <c r="M11" s="834">
        <f t="shared" si="6"/>
        <v>1057.1300000000001</v>
      </c>
      <c r="N11" s="834">
        <f t="shared" si="5"/>
        <v>-366.86999999999989</v>
      </c>
      <c r="O11"/>
      <c r="P11" s="842">
        <f t="shared" si="7"/>
        <v>1.6770105873070082</v>
      </c>
      <c r="Q11" s="500"/>
    </row>
    <row r="12" spans="2:17">
      <c r="B12" s="500">
        <v>3</v>
      </c>
      <c r="C12" s="834">
        <v>1772</v>
      </c>
      <c r="D12" s="834"/>
      <c r="E12" s="834">
        <v>1294</v>
      </c>
      <c r="F12" s="834">
        <f t="shared" si="0"/>
        <v>1423.4</v>
      </c>
      <c r="G12" s="834">
        <f t="shared" si="1"/>
        <v>1552.8</v>
      </c>
      <c r="H12" s="834">
        <f t="shared" si="2"/>
        <v>-277.05</v>
      </c>
      <c r="I12" s="834"/>
      <c r="J12" s="834">
        <f t="shared" si="3"/>
        <v>1146.3500000000001</v>
      </c>
      <c r="K12" s="834">
        <f t="shared" si="4"/>
        <v>-625.64999999999986</v>
      </c>
      <c r="L12" s="834"/>
      <c r="M12" s="834">
        <f t="shared" si="6"/>
        <v>1275.75</v>
      </c>
      <c r="N12" s="834">
        <f t="shared" si="5"/>
        <v>-496.25</v>
      </c>
      <c r="O12"/>
      <c r="P12" s="842">
        <f t="shared" si="7"/>
        <v>1.7424652146123212</v>
      </c>
      <c r="Q12" s="500"/>
    </row>
    <row r="13" spans="2:17">
      <c r="B13" s="500">
        <v>4</v>
      </c>
      <c r="C13" s="834">
        <v>1930</v>
      </c>
      <c r="D13" s="834"/>
      <c r="E13" s="834">
        <v>1401</v>
      </c>
      <c r="F13" s="834">
        <f t="shared" si="0"/>
        <v>1541.1000000000001</v>
      </c>
      <c r="G13" s="834">
        <f t="shared" si="1"/>
        <v>1681.2</v>
      </c>
      <c r="H13" s="834">
        <f t="shared" si="2"/>
        <v>-299.62</v>
      </c>
      <c r="I13" s="834"/>
      <c r="J13" s="834">
        <f t="shared" si="3"/>
        <v>1241.48</v>
      </c>
      <c r="K13" s="834">
        <f t="shared" si="4"/>
        <v>-688.52</v>
      </c>
      <c r="L13" s="834"/>
      <c r="M13" s="834">
        <f t="shared" si="6"/>
        <v>1381.58</v>
      </c>
      <c r="N13" s="834">
        <f t="shared" si="5"/>
        <v>-548.42000000000007</v>
      </c>
      <c r="O13"/>
      <c r="P13" s="842">
        <f t="shared" si="7"/>
        <v>1.7523470555121754</v>
      </c>
      <c r="Q13" s="500"/>
    </row>
    <row r="14" spans="2:17">
      <c r="B14" s="500">
        <v>5</v>
      </c>
      <c r="C14" s="834">
        <v>2219</v>
      </c>
      <c r="D14" s="834"/>
      <c r="E14" s="834">
        <f>E13*1.15</f>
        <v>1611.1499999999999</v>
      </c>
      <c r="F14" s="834">
        <f t="shared" si="0"/>
        <v>1772.2650000000001</v>
      </c>
      <c r="G14" s="834">
        <f t="shared" si="1"/>
        <v>1933.3799999999997</v>
      </c>
      <c r="H14" s="834">
        <f t="shared" si="2"/>
        <v>-340.66999999999996</v>
      </c>
      <c r="I14" s="834"/>
      <c r="J14" s="834">
        <f t="shared" si="3"/>
        <v>1431.5950000000003</v>
      </c>
      <c r="K14" s="834">
        <f t="shared" si="4"/>
        <v>-787.40499999999975</v>
      </c>
      <c r="L14" s="834"/>
      <c r="M14" s="834">
        <f t="shared" si="6"/>
        <v>1592.7099999999996</v>
      </c>
      <c r="N14" s="834">
        <f t="shared" si="5"/>
        <v>-626.29000000000042</v>
      </c>
      <c r="O14"/>
      <c r="P14" s="842">
        <f>C14/(E14+H14)</f>
        <v>1.7465839682639632</v>
      </c>
      <c r="Q14" s="500"/>
    </row>
    <row r="15" spans="2:17">
      <c r="B15" s="500"/>
      <c r="H15"/>
      <c r="I15" s="500"/>
      <c r="J15"/>
      <c r="K15" s="500"/>
      <c r="L15"/>
      <c r="M15" s="500"/>
      <c r="N15"/>
      <c r="P15" s="500"/>
    </row>
    <row r="16" spans="2:17">
      <c r="B16" s="6" t="s">
        <v>596</v>
      </c>
    </row>
    <row r="17" spans="2:8" s="500" customFormat="1"/>
    <row r="18" spans="2:8" s="500" customFormat="1">
      <c r="B18" s="1083"/>
    </row>
    <row r="19" spans="2:8" s="500" customFormat="1">
      <c r="C19" s="8" t="s">
        <v>502</v>
      </c>
      <c r="D19" s="8" t="s">
        <v>166</v>
      </c>
      <c r="E19" s="8" t="s">
        <v>510</v>
      </c>
      <c r="F19" s="8" t="s">
        <v>511</v>
      </c>
      <c r="G19" s="8" t="s">
        <v>512</v>
      </c>
      <c r="H19" s="8" t="s">
        <v>513</v>
      </c>
    </row>
    <row r="20" spans="2:8" s="500" customFormat="1">
      <c r="C20" s="843">
        <v>1</v>
      </c>
      <c r="D20" s="844">
        <f>'Units &amp; Income'!B10</f>
        <v>32</v>
      </c>
      <c r="E20" s="845">
        <f>MIN(C10,J10)</f>
        <v>832.24</v>
      </c>
      <c r="F20" s="845">
        <f>MIN(C10,M10)</f>
        <v>917.43999999999994</v>
      </c>
      <c r="G20" s="845">
        <f>D20*E20</f>
        <v>26631.68</v>
      </c>
      <c r="H20" s="845">
        <f>D20*F20</f>
        <v>29358.079999999998</v>
      </c>
    </row>
    <row r="21" spans="2:8" s="500" customFormat="1">
      <c r="C21" s="843">
        <v>2</v>
      </c>
      <c r="D21" s="844">
        <f>'Units &amp; Income'!B11</f>
        <v>60</v>
      </c>
      <c r="E21" s="845">
        <f t="shared" ref="E21:E23" si="8">MIN(C11,J11)</f>
        <v>953.13</v>
      </c>
      <c r="F21" s="845">
        <f t="shared" ref="F21:F23" si="9">MIN(C11,M11)</f>
        <v>1057.1300000000001</v>
      </c>
      <c r="G21" s="845">
        <f t="shared" ref="G21:G23" si="10">D21*E21</f>
        <v>57187.8</v>
      </c>
      <c r="H21" s="845">
        <f t="shared" ref="H21:H23" si="11">D21*F21</f>
        <v>63427.8</v>
      </c>
    </row>
    <row r="22" spans="2:8" s="500" customFormat="1">
      <c r="C22" s="843">
        <v>3</v>
      </c>
      <c r="D22" s="844">
        <f>'Units &amp; Income'!B12</f>
        <v>38</v>
      </c>
      <c r="E22" s="845">
        <f t="shared" si="8"/>
        <v>1146.3500000000001</v>
      </c>
      <c r="F22" s="845">
        <f t="shared" si="9"/>
        <v>1275.75</v>
      </c>
      <c r="G22" s="845">
        <f t="shared" si="10"/>
        <v>43561.3</v>
      </c>
      <c r="H22" s="845">
        <f t="shared" si="11"/>
        <v>48478.5</v>
      </c>
    </row>
    <row r="23" spans="2:8" s="500" customFormat="1">
      <c r="C23" s="843">
        <v>4</v>
      </c>
      <c r="D23" s="844">
        <f>'Units &amp; Income'!B13</f>
        <v>6</v>
      </c>
      <c r="E23" s="845">
        <f t="shared" si="8"/>
        <v>1241.48</v>
      </c>
      <c r="F23" s="845">
        <f t="shared" si="9"/>
        <v>1381.58</v>
      </c>
      <c r="G23" s="845">
        <f t="shared" si="10"/>
        <v>7448.88</v>
      </c>
      <c r="H23" s="845">
        <f t="shared" si="11"/>
        <v>8289.48</v>
      </c>
    </row>
    <row r="24" spans="2:8" s="500" customFormat="1">
      <c r="C24" s="8" t="s">
        <v>514</v>
      </c>
      <c r="G24" s="834">
        <f>SUM(G20:G23)</f>
        <v>134829.66</v>
      </c>
      <c r="H24" s="834">
        <f>SUM(H20:H23)</f>
        <v>149553.86000000002</v>
      </c>
    </row>
    <row r="25" spans="2:8" s="500" customFormat="1">
      <c r="C25" s="8"/>
      <c r="G25" s="834"/>
      <c r="H25" s="834"/>
    </row>
    <row r="26" spans="2:8" s="500" customFormat="1">
      <c r="C26" s="8"/>
      <c r="F26" s="13" t="s">
        <v>515</v>
      </c>
      <c r="G26" s="834">
        <f>G24*12</f>
        <v>1617955.92</v>
      </c>
      <c r="H26" s="834"/>
    </row>
    <row r="27" spans="2:8" s="500" customFormat="1">
      <c r="C27" s="8"/>
      <c r="F27" s="13" t="s">
        <v>516</v>
      </c>
      <c r="G27" s="834">
        <f>H24*12</f>
        <v>1794646.3200000003</v>
      </c>
    </row>
    <row r="28" spans="2:8" s="500" customFormat="1">
      <c r="C28" s="8"/>
      <c r="F28" s="13" t="s">
        <v>493</v>
      </c>
      <c r="G28" s="834">
        <f>G27-G26</f>
        <v>176690.40000000037</v>
      </c>
    </row>
    <row r="29" spans="2:8" s="500" customFormat="1">
      <c r="C29" s="8"/>
      <c r="F29" s="13" t="s">
        <v>517</v>
      </c>
      <c r="G29" s="834">
        <f>G28/12/SUM(D20:D23)</f>
        <v>108.26617647058846</v>
      </c>
    </row>
    <row r="30" spans="2:8" s="500" customFormat="1">
      <c r="C30" s="8"/>
      <c r="F30" s="13"/>
      <c r="G30" s="834"/>
    </row>
    <row r="31" spans="2:8" s="500" customFormat="1">
      <c r="B31" s="1085" t="s">
        <v>588</v>
      </c>
      <c r="C31" s="8"/>
      <c r="F31" s="13"/>
      <c r="G31" s="834"/>
    </row>
    <row r="32" spans="2:8" s="500" customFormat="1">
      <c r="F32" s="1088">
        <v>0.9</v>
      </c>
    </row>
    <row r="33" spans="2:9" s="500" customFormat="1" ht="75">
      <c r="C33" s="513" t="s">
        <v>502</v>
      </c>
      <c r="D33" s="1084" t="s">
        <v>588</v>
      </c>
      <c r="E33" s="1084" t="s">
        <v>592</v>
      </c>
      <c r="F33" s="1084" t="s">
        <v>593</v>
      </c>
      <c r="G33" s="1084" t="s">
        <v>594</v>
      </c>
      <c r="H33" s="1087" t="s">
        <v>598</v>
      </c>
      <c r="I33" s="1086" t="s">
        <v>597</v>
      </c>
    </row>
    <row r="34" spans="2:9" s="500" customFormat="1">
      <c r="C34" s="1078">
        <v>1</v>
      </c>
      <c r="D34" s="1078" t="s">
        <v>589</v>
      </c>
      <c r="E34" s="1080">
        <v>1200</v>
      </c>
      <c r="F34" s="1081">
        <f>E34*$F$32</f>
        <v>1080</v>
      </c>
      <c r="G34" s="1082">
        <f>F34/E10</f>
        <v>1.267605633802817</v>
      </c>
      <c r="H34" s="1081">
        <f>1.5*E10+H10</f>
        <v>1173.04</v>
      </c>
      <c r="I34" s="1081">
        <f>MIN(H34,F34,C10)</f>
        <v>1080</v>
      </c>
    </row>
    <row r="35" spans="2:9" s="500" customFormat="1">
      <c r="C35" s="1078">
        <v>2</v>
      </c>
      <c r="D35" s="1079" t="s">
        <v>590</v>
      </c>
      <c r="E35" s="1080">
        <v>2500</v>
      </c>
      <c r="F35" s="1081">
        <f>E35*$F$32</f>
        <v>2250</v>
      </c>
      <c r="G35" s="1082">
        <f t="shared" ref="G35:G38" si="12">F35/E11</f>
        <v>2.1634615384615383</v>
      </c>
      <c r="H35" s="1081">
        <f t="shared" ref="H35:H38" si="13">1.5*E11+H11</f>
        <v>1369.13</v>
      </c>
      <c r="I35" s="1081">
        <f t="shared" ref="I35:I38" si="14">MIN(H35,F35,C11)</f>
        <v>1369.13</v>
      </c>
    </row>
    <row r="36" spans="2:9" s="500" customFormat="1">
      <c r="C36" s="1078">
        <v>3</v>
      </c>
      <c r="D36" s="1079" t="s">
        <v>591</v>
      </c>
      <c r="E36" s="1080">
        <v>4000</v>
      </c>
      <c r="F36" s="1081">
        <f>E36*$F$32</f>
        <v>3600</v>
      </c>
      <c r="G36" s="1082">
        <f t="shared" si="12"/>
        <v>2.7820710973724885</v>
      </c>
      <c r="H36" s="1081">
        <f t="shared" si="13"/>
        <v>1663.95</v>
      </c>
      <c r="I36" s="1081">
        <f t="shared" si="14"/>
        <v>1663.95</v>
      </c>
    </row>
    <row r="37" spans="2:9" s="500" customFormat="1">
      <c r="C37" s="1079">
        <v>4</v>
      </c>
      <c r="D37" s="1078"/>
      <c r="E37" s="1080"/>
      <c r="F37" s="1081">
        <f>F36*1.1</f>
        <v>3960.0000000000005</v>
      </c>
      <c r="G37" s="1082">
        <f t="shared" si="12"/>
        <v>2.8265524625267671</v>
      </c>
      <c r="H37" s="1081">
        <f t="shared" si="13"/>
        <v>1801.88</v>
      </c>
      <c r="I37" s="1081">
        <f t="shared" si="14"/>
        <v>1801.88</v>
      </c>
    </row>
    <row r="38" spans="2:9" s="500" customFormat="1">
      <c r="C38" s="1079">
        <v>5</v>
      </c>
      <c r="D38" s="1078"/>
      <c r="E38" s="1080"/>
      <c r="F38" s="1081">
        <f>F37*1.1</f>
        <v>4356.0000000000009</v>
      </c>
      <c r="G38" s="1082">
        <f t="shared" si="12"/>
        <v>2.7036588771995165</v>
      </c>
      <c r="H38" s="1081">
        <f t="shared" si="13"/>
        <v>2076.0549999999998</v>
      </c>
      <c r="I38" s="1081">
        <f t="shared" si="14"/>
        <v>2076.0549999999998</v>
      </c>
    </row>
    <row r="39" spans="2:9" s="500" customFormat="1">
      <c r="C39" s="8"/>
      <c r="F39" s="13"/>
      <c r="G39" s="834"/>
    </row>
    <row r="40" spans="2:9" s="500" customFormat="1">
      <c r="B40" s="6" t="s">
        <v>611</v>
      </c>
      <c r="C40" s="8"/>
      <c r="F40" s="13"/>
      <c r="G40" s="834"/>
    </row>
    <row r="41" spans="2:9" s="500" customFormat="1">
      <c r="C41" s="8"/>
      <c r="F41" s="13"/>
      <c r="G41" s="834"/>
    </row>
    <row r="42" spans="2:9" s="500" customFormat="1" ht="45">
      <c r="C42" s="513" t="s">
        <v>502</v>
      </c>
      <c r="D42" s="1098" t="s">
        <v>612</v>
      </c>
      <c r="E42" s="1098" t="s">
        <v>613</v>
      </c>
      <c r="F42" s="1084" t="s">
        <v>594</v>
      </c>
      <c r="G42" s="1087" t="s">
        <v>598</v>
      </c>
      <c r="H42" s="1086" t="s">
        <v>597</v>
      </c>
    </row>
    <row r="43" spans="2:9" s="500" customFormat="1">
      <c r="C43" s="1078">
        <v>1</v>
      </c>
      <c r="D43" s="1081">
        <v>1425</v>
      </c>
      <c r="E43" s="1081">
        <f>D43</f>
        <v>1425</v>
      </c>
      <c r="F43" s="1082">
        <f>E43/(E10+H10)</f>
        <v>1.907528378667809</v>
      </c>
      <c r="G43" s="1081">
        <f>E10*1.5+H10</f>
        <v>1173.04</v>
      </c>
      <c r="H43" s="1102">
        <f>MIN(E43,G43,C10)</f>
        <v>1166</v>
      </c>
    </row>
    <row r="44" spans="2:9" s="500" customFormat="1">
      <c r="C44" s="1078">
        <v>2</v>
      </c>
      <c r="D44" s="1081">
        <v>2050</v>
      </c>
      <c r="E44" s="1081">
        <f>D44</f>
        <v>2050</v>
      </c>
      <c r="F44" s="1082">
        <f t="shared" ref="F44:F47" si="15">E44/(E11+H11)</f>
        <v>2.4142357471765217</v>
      </c>
      <c r="G44" s="1081">
        <f t="shared" ref="G44:G47" si="16">E11*1.5+H11</f>
        <v>1369.13</v>
      </c>
      <c r="H44" s="1102">
        <f t="shared" ref="H44:H47" si="17">MIN(E44,G44,C11)</f>
        <v>1369.13</v>
      </c>
    </row>
    <row r="45" spans="2:9" s="500" customFormat="1">
      <c r="C45" s="1078">
        <v>3</v>
      </c>
      <c r="D45" s="1081">
        <v>2300</v>
      </c>
      <c r="E45" s="1081">
        <f>D45</f>
        <v>2300</v>
      </c>
      <c r="F45" s="1082">
        <f t="shared" si="15"/>
        <v>2.2616647819460147</v>
      </c>
      <c r="G45" s="1081">
        <f t="shared" si="16"/>
        <v>1663.95</v>
      </c>
      <c r="H45" s="1102">
        <f t="shared" si="17"/>
        <v>1663.95</v>
      </c>
    </row>
    <row r="46" spans="2:9" s="500" customFormat="1">
      <c r="C46" s="1079">
        <v>4</v>
      </c>
      <c r="D46" s="1081"/>
      <c r="E46" s="1081">
        <f>E45*1.1</f>
        <v>2530</v>
      </c>
      <c r="F46" s="1082">
        <f t="shared" si="15"/>
        <v>2.2971181608527482</v>
      </c>
      <c r="G46" s="1081">
        <f t="shared" si="16"/>
        <v>1801.88</v>
      </c>
      <c r="H46" s="1102">
        <f t="shared" si="17"/>
        <v>1801.88</v>
      </c>
    </row>
    <row r="47" spans="2:9" s="500" customFormat="1">
      <c r="C47" s="1079">
        <v>5</v>
      </c>
      <c r="D47" s="1081"/>
      <c r="E47" s="1081">
        <f>E46*1.1</f>
        <v>2783</v>
      </c>
      <c r="F47" s="1082">
        <f t="shared" si="15"/>
        <v>2.1905106731314148</v>
      </c>
      <c r="G47" s="1081">
        <f t="shared" si="16"/>
        <v>2076.0549999999998</v>
      </c>
      <c r="H47" s="1102">
        <f t="shared" si="17"/>
        <v>2076.0549999999998</v>
      </c>
    </row>
    <row r="48" spans="2:9" s="500" customFormat="1">
      <c r="C48" s="8"/>
      <c r="F48" s="13"/>
      <c r="G48" s="834"/>
    </row>
    <row r="49" spans="2:8" s="500" customFormat="1">
      <c r="C49" s="8"/>
      <c r="F49" s="13"/>
      <c r="G49" s="834"/>
    </row>
    <row r="50" spans="2:8" s="500" customFormat="1">
      <c r="B50" s="6" t="s">
        <v>595</v>
      </c>
      <c r="C50" s="8"/>
      <c r="F50" s="13"/>
      <c r="G50" s="834"/>
    </row>
    <row r="51" spans="2:8" s="500" customFormat="1">
      <c r="B51" s="6"/>
      <c r="C51" s="8"/>
      <c r="F51" s="13"/>
      <c r="G51" s="834"/>
    </row>
    <row r="52" spans="2:8" s="500" customFormat="1">
      <c r="B52" s="6"/>
      <c r="C52" s="8" t="s">
        <v>502</v>
      </c>
      <c r="D52" s="8" t="s">
        <v>166</v>
      </c>
      <c r="E52" s="8" t="s">
        <v>510</v>
      </c>
      <c r="F52" s="8" t="s">
        <v>511</v>
      </c>
      <c r="G52" s="8" t="s">
        <v>512</v>
      </c>
      <c r="H52" s="8" t="s">
        <v>513</v>
      </c>
    </row>
    <row r="53" spans="2:8" s="500" customFormat="1">
      <c r="B53" s="6"/>
      <c r="C53" s="843">
        <v>1</v>
      </c>
      <c r="D53" s="844">
        <f>'Units &amp; Income'!B10</f>
        <v>32</v>
      </c>
      <c r="E53" s="845">
        <f>MIN(C10,J10)</f>
        <v>832.24</v>
      </c>
      <c r="F53" s="845">
        <f>H43</f>
        <v>1166</v>
      </c>
      <c r="G53" s="845">
        <f>D53*E53</f>
        <v>26631.68</v>
      </c>
      <c r="H53" s="845">
        <f>D53*F53</f>
        <v>37312</v>
      </c>
    </row>
    <row r="54" spans="2:8" s="500" customFormat="1">
      <c r="B54" s="6"/>
      <c r="C54" s="843">
        <v>2</v>
      </c>
      <c r="D54" s="844">
        <f>'Units &amp; Income'!B11</f>
        <v>60</v>
      </c>
      <c r="E54" s="845">
        <f t="shared" ref="E54:E56" si="18">MIN(C11,J11)</f>
        <v>953.13</v>
      </c>
      <c r="F54" s="845">
        <f t="shared" ref="F54:F56" si="19">H44</f>
        <v>1369.13</v>
      </c>
      <c r="G54" s="845">
        <f t="shared" ref="G54:G56" si="20">D54*E54</f>
        <v>57187.8</v>
      </c>
      <c r="H54" s="845">
        <f t="shared" ref="H54:H56" si="21">D54*F54</f>
        <v>82147.8</v>
      </c>
    </row>
    <row r="55" spans="2:8" s="500" customFormat="1">
      <c r="B55" s="6"/>
      <c r="C55" s="843">
        <v>3</v>
      </c>
      <c r="D55" s="844">
        <f>'Units &amp; Income'!B12</f>
        <v>38</v>
      </c>
      <c r="E55" s="845">
        <f t="shared" si="18"/>
        <v>1146.3500000000001</v>
      </c>
      <c r="F55" s="845">
        <f t="shared" si="19"/>
        <v>1663.95</v>
      </c>
      <c r="G55" s="845">
        <f t="shared" si="20"/>
        <v>43561.3</v>
      </c>
      <c r="H55" s="845">
        <f t="shared" si="21"/>
        <v>63230.1</v>
      </c>
    </row>
    <row r="56" spans="2:8" s="500" customFormat="1">
      <c r="C56" s="843">
        <v>4</v>
      </c>
      <c r="D56" s="844">
        <f>'Units &amp; Income'!B13</f>
        <v>6</v>
      </c>
      <c r="E56" s="845">
        <f t="shared" si="18"/>
        <v>1241.48</v>
      </c>
      <c r="F56" s="845">
        <f t="shared" si="19"/>
        <v>1801.88</v>
      </c>
      <c r="G56" s="845">
        <f t="shared" si="20"/>
        <v>7448.88</v>
      </c>
      <c r="H56" s="845">
        <f t="shared" si="21"/>
        <v>10811.28</v>
      </c>
    </row>
    <row r="57" spans="2:8" s="500" customFormat="1">
      <c r="C57" s="8" t="s">
        <v>514</v>
      </c>
      <c r="G57" s="834">
        <f>SUM(G53:G56)</f>
        <v>134829.66</v>
      </c>
      <c r="H57" s="834">
        <f>SUM(H53:H56)</f>
        <v>193501.18</v>
      </c>
    </row>
    <row r="58" spans="2:8" s="500" customFormat="1">
      <c r="C58" s="8"/>
      <c r="G58" s="834"/>
      <c r="H58" s="834"/>
    </row>
    <row r="59" spans="2:8" s="500" customFormat="1">
      <c r="C59" s="8"/>
      <c r="F59" s="13" t="s">
        <v>515</v>
      </c>
      <c r="G59" s="834">
        <f>G57*12</f>
        <v>1617955.92</v>
      </c>
      <c r="H59" s="834"/>
    </row>
    <row r="60" spans="2:8" s="500" customFormat="1">
      <c r="C60" s="8"/>
      <c r="F60" s="13" t="s">
        <v>516</v>
      </c>
      <c r="G60" s="834">
        <f>H57*12</f>
        <v>2322014.16</v>
      </c>
      <c r="H60" s="834"/>
    </row>
    <row r="61" spans="2:8" s="500" customFormat="1">
      <c r="C61" s="8"/>
      <c r="F61" s="13" t="s">
        <v>493</v>
      </c>
      <c r="G61" s="834">
        <f>G60-G59</f>
        <v>704058.24000000022</v>
      </c>
      <c r="H61" s="834"/>
    </row>
    <row r="62" spans="2:8" s="500" customFormat="1">
      <c r="C62" s="8"/>
      <c r="F62" s="13" t="s">
        <v>517</v>
      </c>
      <c r="G62" s="834">
        <f>G61/12/SUM(D53:D56)</f>
        <v>431.40823529411779</v>
      </c>
    </row>
    <row r="63" spans="2:8" s="500" customFormat="1">
      <c r="C63" s="8"/>
      <c r="F63" s="13"/>
      <c r="G63" s="834"/>
    </row>
    <row r="64" spans="2:8">
      <c r="B64" s="8" t="s">
        <v>509</v>
      </c>
      <c r="D64" s="500"/>
      <c r="F64" s="500"/>
    </row>
    <row r="65" spans="2:15" s="838" customFormat="1" ht="25.25" customHeight="1">
      <c r="B65" s="837" t="s">
        <v>502</v>
      </c>
      <c r="C65" s="837" t="s">
        <v>313</v>
      </c>
      <c r="D65" s="837" t="s">
        <v>314</v>
      </c>
      <c r="E65" s="837" t="s">
        <v>315</v>
      </c>
      <c r="F65" s="837" t="s">
        <v>316</v>
      </c>
      <c r="G65" s="837" t="s">
        <v>278</v>
      </c>
      <c r="H65" s="837"/>
      <c r="I65" s="837"/>
      <c r="J65" s="837"/>
      <c r="K65" s="837"/>
      <c r="L65" s="837"/>
      <c r="M65" s="837"/>
      <c r="O65" s="837"/>
    </row>
    <row r="66" spans="2:15">
      <c r="B66" s="839">
        <v>0</v>
      </c>
      <c r="C66" s="840">
        <v>58.62</v>
      </c>
      <c r="D66" s="840">
        <v>24.38</v>
      </c>
      <c r="E66" s="841">
        <v>20.95</v>
      </c>
      <c r="F66" s="841">
        <v>0</v>
      </c>
      <c r="G66" s="846">
        <f t="shared" ref="G66:G71" si="22">C66+D66+E66+F66</f>
        <v>103.95</v>
      </c>
      <c r="J66" s="836"/>
    </row>
    <row r="67" spans="2:15">
      <c r="B67" s="839">
        <v>1</v>
      </c>
      <c r="C67" s="840">
        <v>59.63</v>
      </c>
      <c r="D67" s="840">
        <v>24.38</v>
      </c>
      <c r="E67" s="841">
        <v>20.95</v>
      </c>
      <c r="F67" s="841">
        <v>0</v>
      </c>
      <c r="G67" s="846">
        <f t="shared" si="22"/>
        <v>104.96000000000001</v>
      </c>
      <c r="J67" s="836"/>
    </row>
    <row r="68" spans="2:15">
      <c r="B68" s="839">
        <v>2</v>
      </c>
      <c r="C68" s="840">
        <v>68.489999999999995</v>
      </c>
      <c r="D68" s="840">
        <v>97.4</v>
      </c>
      <c r="E68" s="841">
        <v>24.98</v>
      </c>
      <c r="F68" s="841">
        <v>0</v>
      </c>
      <c r="G68" s="846">
        <f t="shared" si="22"/>
        <v>190.86999999999998</v>
      </c>
      <c r="J68" s="836"/>
    </row>
    <row r="69" spans="2:15">
      <c r="B69" s="839">
        <v>3</v>
      </c>
      <c r="C69" s="840">
        <v>77.959999999999994</v>
      </c>
      <c r="D69" s="840">
        <v>170.48</v>
      </c>
      <c r="E69" s="841">
        <v>28.61</v>
      </c>
      <c r="F69" s="841">
        <v>0</v>
      </c>
      <c r="G69" s="846">
        <f t="shared" si="22"/>
        <v>277.05</v>
      </c>
      <c r="J69" s="836"/>
    </row>
    <row r="70" spans="2:15">
      <c r="B70" s="839">
        <v>4</v>
      </c>
      <c r="C70" s="841">
        <v>88.49</v>
      </c>
      <c r="D70" s="841">
        <v>180.11</v>
      </c>
      <c r="E70" s="841">
        <v>31.02</v>
      </c>
      <c r="F70" s="841">
        <v>0</v>
      </c>
      <c r="G70" s="846">
        <f t="shared" si="22"/>
        <v>299.62</v>
      </c>
      <c r="J70" s="836"/>
    </row>
    <row r="71" spans="2:15">
      <c r="B71" s="839">
        <v>5</v>
      </c>
      <c r="C71" s="841">
        <v>98.83</v>
      </c>
      <c r="D71" s="841">
        <v>208</v>
      </c>
      <c r="E71" s="841">
        <v>33.840000000000003</v>
      </c>
      <c r="F71" s="841">
        <v>0</v>
      </c>
      <c r="G71" s="846">
        <f t="shared" si="22"/>
        <v>340.66999999999996</v>
      </c>
      <c r="J71" s="836"/>
    </row>
    <row r="72" spans="2:15">
      <c r="D72" s="500"/>
      <c r="E72" s="513"/>
      <c r="F72" s="513"/>
      <c r="G72" s="513"/>
      <c r="I72" s="500"/>
    </row>
  </sheetData>
  <pageMargins left="0.7" right="0.7" top="0.75" bottom="0.75" header="0.3" footer="0.3"/>
  <pageSetup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 codeName="Sheet7">
    <pageSetUpPr fitToPage="1"/>
  </sheetPr>
  <dimension ref="A1:P33"/>
  <sheetViews>
    <sheetView showGridLines="0" view="pageBreakPreview" zoomScaleNormal="100" zoomScaleSheetLayoutView="100" workbookViewId="0">
      <selection activeCell="R29" sqref="R29"/>
    </sheetView>
  </sheetViews>
  <sheetFormatPr defaultRowHeight="15"/>
  <cols>
    <col min="1" max="1" width="2.0546875" customWidth="1"/>
    <col min="2" max="2" width="24.6640625" customWidth="1"/>
    <col min="4" max="5" width="11.83203125" customWidth="1"/>
    <col min="6" max="6" width="12.6640625" hidden="1" customWidth="1"/>
    <col min="7" max="7" width="11.0546875" hidden="1" customWidth="1"/>
    <col min="8" max="9" width="8.83203125" hidden="1" customWidth="1"/>
    <col min="10" max="10" width="18.21875" hidden="1" customWidth="1"/>
    <col min="11" max="15" width="0" hidden="1" customWidth="1"/>
  </cols>
  <sheetData>
    <row r="1" spans="1:16" s="44" customFormat="1" ht="17.649999999999999">
      <c r="A1" s="44" t="str">
        <f>'Sources and Use'!A1</f>
        <v>MDG Design and Construction</v>
      </c>
      <c r="H1"/>
      <c r="I1"/>
      <c r="J1"/>
      <c r="K1"/>
      <c r="L1"/>
      <c r="M1"/>
      <c r="N1"/>
      <c r="O1"/>
    </row>
    <row r="2" spans="1:16" s="44" customFormat="1" ht="17.649999999999999">
      <c r="A2" s="44" t="str">
        <f>'Sources and Use'!A2</f>
        <v>Virgin Islands: Piggy/Hamilton RAD</v>
      </c>
      <c r="H2"/>
      <c r="I2"/>
      <c r="J2"/>
      <c r="K2"/>
      <c r="L2"/>
      <c r="M2"/>
      <c r="N2"/>
      <c r="O2"/>
    </row>
    <row r="3" spans="1:16" s="46" customFormat="1" ht="18" thickBot="1">
      <c r="A3" s="44" t="str">
        <f>'Sources and Use'!A3</f>
        <v>4% LIHTC and FEMA/CDBG-DR</v>
      </c>
      <c r="H3"/>
      <c r="I3"/>
      <c r="J3"/>
      <c r="K3"/>
      <c r="L3"/>
      <c r="M3"/>
      <c r="N3"/>
      <c r="O3"/>
    </row>
    <row r="4" spans="1:16" s="48" customFormat="1">
      <c r="A4" s="48" t="s">
        <v>206</v>
      </c>
      <c r="H4"/>
      <c r="I4"/>
      <c r="J4"/>
      <c r="K4"/>
      <c r="L4"/>
      <c r="M4"/>
      <c r="N4"/>
      <c r="O4"/>
    </row>
    <row r="5" spans="1:16" ht="15.4" thickBot="1">
      <c r="A5" s="50"/>
      <c r="B5" s="6"/>
      <c r="E5" s="469">
        <f>totalunits</f>
        <v>136</v>
      </c>
      <c r="F5" s="471"/>
    </row>
    <row r="6" spans="1:16">
      <c r="D6" s="1123" t="s">
        <v>323</v>
      </c>
      <c r="E6" s="1124"/>
      <c r="F6" s="1125" t="s">
        <v>259</v>
      </c>
      <c r="G6" s="1126"/>
    </row>
    <row r="7" spans="1:16">
      <c r="D7" s="476" t="s">
        <v>196</v>
      </c>
      <c r="E7" s="477" t="s">
        <v>197</v>
      </c>
      <c r="F7" s="585" t="s">
        <v>196</v>
      </c>
      <c r="G7" s="586" t="s">
        <v>197</v>
      </c>
      <c r="L7" t="s">
        <v>276</v>
      </c>
      <c r="M7" t="s">
        <v>278</v>
      </c>
    </row>
    <row r="8" spans="1:16">
      <c r="B8" s="410" t="s">
        <v>242</v>
      </c>
      <c r="D8" s="478">
        <f>E8*E5</f>
        <v>161160</v>
      </c>
      <c r="E8" s="479">
        <v>1185</v>
      </c>
      <c r="F8" s="587">
        <f>M18</f>
        <v>185504</v>
      </c>
      <c r="G8" s="588">
        <f t="shared" ref="G8:G23" si="0">F8/totalunits</f>
        <v>1364</v>
      </c>
      <c r="J8" t="s">
        <v>260</v>
      </c>
      <c r="K8">
        <v>250</v>
      </c>
      <c r="L8" t="s">
        <v>270</v>
      </c>
      <c r="M8">
        <f>K8*totalunits</f>
        <v>34000</v>
      </c>
    </row>
    <row r="9" spans="1:16">
      <c r="B9" s="410" t="s">
        <v>243</v>
      </c>
      <c r="D9" s="478">
        <f t="shared" ref="D9" si="1">E9*$E$5</f>
        <v>153544</v>
      </c>
      <c r="E9" s="479">
        <v>1129</v>
      </c>
      <c r="F9" s="587"/>
      <c r="G9" s="588">
        <f t="shared" si="0"/>
        <v>0</v>
      </c>
      <c r="J9" t="s">
        <v>261</v>
      </c>
      <c r="K9">
        <v>22000</v>
      </c>
      <c r="L9" t="s">
        <v>271</v>
      </c>
      <c r="M9">
        <f>K9</f>
        <v>22000</v>
      </c>
    </row>
    <row r="10" spans="1:16">
      <c r="B10" s="410" t="s">
        <v>244</v>
      </c>
      <c r="D10" s="478">
        <f t="shared" ref="D10" si="2">F10*0.45</f>
        <v>0</v>
      </c>
      <c r="E10" s="479">
        <v>0</v>
      </c>
      <c r="F10" s="587"/>
      <c r="G10" s="588">
        <f t="shared" si="0"/>
        <v>0</v>
      </c>
      <c r="J10" t="s">
        <v>71</v>
      </c>
      <c r="K10" s="584">
        <v>0.06</v>
      </c>
      <c r="L10" t="s">
        <v>272</v>
      </c>
      <c r="M10">
        <f>K10*'Units &amp; Income'!H40*0.95</f>
        <v>132354.80712000001</v>
      </c>
    </row>
    <row r="11" spans="1:16">
      <c r="B11" s="410" t="s">
        <v>245</v>
      </c>
      <c r="D11" s="478">
        <f>E11*$E$5</f>
        <v>0</v>
      </c>
      <c r="E11" s="479">
        <v>0</v>
      </c>
      <c r="F11" s="587">
        <f>M13</f>
        <v>182650</v>
      </c>
      <c r="G11" s="588">
        <f t="shared" si="0"/>
        <v>1343.0147058823529</v>
      </c>
      <c r="J11" t="s">
        <v>155</v>
      </c>
      <c r="K11">
        <v>600</v>
      </c>
      <c r="L11" t="s">
        <v>270</v>
      </c>
      <c r="M11">
        <f>K11*totalunits</f>
        <v>81600</v>
      </c>
    </row>
    <row r="12" spans="1:16">
      <c r="B12" s="410" t="s">
        <v>246</v>
      </c>
      <c r="D12" s="478">
        <f>E12*$E$5</f>
        <v>24765.062073580004</v>
      </c>
      <c r="E12" s="479">
        <v>182.0960446586765</v>
      </c>
      <c r="F12" s="587">
        <f>M14</f>
        <v>112400</v>
      </c>
      <c r="G12" s="588">
        <f t="shared" si="0"/>
        <v>826.47058823529414</v>
      </c>
      <c r="J12" t="s">
        <v>262</v>
      </c>
      <c r="K12">
        <v>495</v>
      </c>
      <c r="L12" t="s">
        <v>273</v>
      </c>
      <c r="M12">
        <f>K12*11</f>
        <v>5445</v>
      </c>
    </row>
    <row r="13" spans="1:16">
      <c r="B13" s="410" t="s">
        <v>247</v>
      </c>
      <c r="D13" s="478">
        <f t="shared" ref="D13:D14" si="3">E13*$E$5</f>
        <v>189963.44</v>
      </c>
      <c r="E13" s="479">
        <v>1396.79</v>
      </c>
      <c r="F13" s="587">
        <f>M15</f>
        <v>148930</v>
      </c>
      <c r="G13" s="588">
        <f t="shared" si="0"/>
        <v>1095.0735294117646</v>
      </c>
      <c r="H13" s="638">
        <f>D13/totalrooms</f>
        <v>338.01323843416372</v>
      </c>
      <c r="J13" t="s">
        <v>263</v>
      </c>
      <c r="K13">
        <v>325</v>
      </c>
      <c r="L13" t="s">
        <v>274</v>
      </c>
      <c r="M13">
        <f>K13*totalrooms</f>
        <v>182650</v>
      </c>
    </row>
    <row r="14" spans="1:16">
      <c r="B14" s="410" t="s">
        <v>155</v>
      </c>
      <c r="D14" s="478">
        <f t="shared" si="3"/>
        <v>476000</v>
      </c>
      <c r="E14" s="479">
        <v>3500</v>
      </c>
      <c r="F14" s="587">
        <f>M11</f>
        <v>81600</v>
      </c>
      <c r="G14" s="588">
        <f t="shared" si="0"/>
        <v>600</v>
      </c>
      <c r="J14" t="s">
        <v>264</v>
      </c>
      <c r="K14">
        <v>200</v>
      </c>
      <c r="L14" t="s">
        <v>274</v>
      </c>
      <c r="M14" s="500">
        <f>K14*totalrooms</f>
        <v>112400</v>
      </c>
    </row>
    <row r="15" spans="1:16">
      <c r="B15" s="410" t="s">
        <v>248</v>
      </c>
      <c r="D15" s="478">
        <f>'Debt Sizing'!G17*6%</f>
        <v>132354.80712000001</v>
      </c>
      <c r="E15" s="479">
        <f>D15/totalunits</f>
        <v>973.19711117647068</v>
      </c>
      <c r="F15" s="587">
        <f>M10</f>
        <v>132354.80712000001</v>
      </c>
      <c r="G15" s="588">
        <f t="shared" si="0"/>
        <v>973.19711117647068</v>
      </c>
      <c r="J15" t="s">
        <v>265</v>
      </c>
      <c r="K15">
        <v>265</v>
      </c>
      <c r="L15" t="s">
        <v>274</v>
      </c>
      <c r="M15" s="500">
        <f>K15*totalrooms</f>
        <v>148930</v>
      </c>
      <c r="P15" s="638"/>
    </row>
    <row r="16" spans="1:16">
      <c r="B16" s="410" t="s">
        <v>249</v>
      </c>
      <c r="D16" s="478">
        <f t="shared" ref="D16:D19" si="4">E16*$E$5</f>
        <v>185002.16</v>
      </c>
      <c r="E16" s="479">
        <v>1360.31</v>
      </c>
      <c r="F16" s="587">
        <f>M17+M16+M19</f>
        <v>322200</v>
      </c>
      <c r="G16" s="588">
        <f t="shared" si="0"/>
        <v>2369.1176470588234</v>
      </c>
      <c r="J16" t="s">
        <v>266</v>
      </c>
      <c r="K16">
        <v>175</v>
      </c>
      <c r="L16" t="s">
        <v>274</v>
      </c>
      <c r="M16" s="500">
        <f>K16*totalrooms</f>
        <v>98350</v>
      </c>
    </row>
    <row r="17" spans="1:13">
      <c r="B17" s="410" t="s">
        <v>172</v>
      </c>
      <c r="D17" s="478">
        <f t="shared" si="4"/>
        <v>77926.64</v>
      </c>
      <c r="E17" s="479">
        <v>572.99</v>
      </c>
      <c r="F17" s="587">
        <f>M8+M9</f>
        <v>56000</v>
      </c>
      <c r="G17" s="588">
        <f t="shared" si="0"/>
        <v>411.76470588235293</v>
      </c>
      <c r="J17" t="s">
        <v>267</v>
      </c>
      <c r="K17">
        <v>1100</v>
      </c>
      <c r="L17" t="s">
        <v>270</v>
      </c>
      <c r="M17" s="500">
        <f>K17*totalunits</f>
        <v>149600</v>
      </c>
    </row>
    <row r="18" spans="1:13">
      <c r="B18" s="410" t="s">
        <v>250</v>
      </c>
      <c r="D18" s="478">
        <f t="shared" si="4"/>
        <v>59976</v>
      </c>
      <c r="E18" s="479">
        <v>441</v>
      </c>
      <c r="F18" s="587"/>
      <c r="G18" s="588">
        <f t="shared" si="0"/>
        <v>0</v>
      </c>
      <c r="J18" t="s">
        <v>268</v>
      </c>
      <c r="K18">
        <v>1364</v>
      </c>
      <c r="L18" t="s">
        <v>270</v>
      </c>
      <c r="M18" s="500">
        <f>K18*totalunits</f>
        <v>185504</v>
      </c>
    </row>
    <row r="19" spans="1:13">
      <c r="B19" s="410" t="s">
        <v>199</v>
      </c>
      <c r="D19" s="478">
        <f t="shared" si="4"/>
        <v>0</v>
      </c>
      <c r="E19" s="479">
        <v>0</v>
      </c>
      <c r="F19" s="587"/>
      <c r="G19" s="588">
        <f t="shared" si="0"/>
        <v>0</v>
      </c>
      <c r="J19" t="s">
        <v>269</v>
      </c>
      <c r="K19">
        <v>6750</v>
      </c>
      <c r="L19" t="s">
        <v>275</v>
      </c>
      <c r="M19">
        <f>K19*11</f>
        <v>74250</v>
      </c>
    </row>
    <row r="20" spans="1:13" s="500" customFormat="1">
      <c r="B20" s="663" t="s">
        <v>122</v>
      </c>
      <c r="D20" s="478">
        <f>E20*E5</f>
        <v>39984</v>
      </c>
      <c r="E20" s="479">
        <v>294</v>
      </c>
      <c r="F20" s="587"/>
      <c r="G20" s="588"/>
      <c r="J20" s="500" t="s">
        <v>277</v>
      </c>
      <c r="K20" s="500">
        <v>300</v>
      </c>
      <c r="L20" s="500" t="s">
        <v>274</v>
      </c>
      <c r="M20" s="500">
        <f>K20*totalunits</f>
        <v>40800</v>
      </c>
    </row>
    <row r="21" spans="1:13" s="500" customFormat="1">
      <c r="B21" s="410" t="s">
        <v>251</v>
      </c>
      <c r="D21" s="478">
        <f>E21*E5</f>
        <v>3400</v>
      </c>
      <c r="E21" s="479">
        <v>25</v>
      </c>
      <c r="F21" s="587"/>
      <c r="G21" s="588">
        <f t="shared" si="0"/>
        <v>0</v>
      </c>
    </row>
    <row r="22" spans="1:13">
      <c r="A22" s="500"/>
      <c r="B22" s="410" t="s">
        <v>610</v>
      </c>
      <c r="C22" s="500"/>
      <c r="D22" s="478">
        <f>81*E5*12</f>
        <v>132192</v>
      </c>
      <c r="E22" s="479">
        <f>D22/E5</f>
        <v>972</v>
      </c>
      <c r="F22" s="587">
        <f>M12</f>
        <v>5445</v>
      </c>
      <c r="G22" s="588">
        <f t="shared" si="0"/>
        <v>40.036764705882355</v>
      </c>
    </row>
    <row r="23" spans="1:13">
      <c r="B23" s="410"/>
      <c r="C23" s="6" t="s">
        <v>195</v>
      </c>
      <c r="D23" s="482">
        <f>SUM(D8:D22)</f>
        <v>1636268.1091935798</v>
      </c>
      <c r="E23" s="483">
        <f>D23/E5</f>
        <v>12031.383155835145</v>
      </c>
      <c r="F23" s="589">
        <f>SUM(F8:F22)</f>
        <v>1227083.80712</v>
      </c>
      <c r="G23" s="588">
        <f t="shared" si="0"/>
        <v>9022.6750523529408</v>
      </c>
    </row>
    <row r="24" spans="1:13">
      <c r="B24" s="410"/>
      <c r="D24" s="480"/>
      <c r="E24" s="481"/>
      <c r="F24" s="590"/>
      <c r="G24" s="591"/>
    </row>
    <row r="25" spans="1:13">
      <c r="B25" s="409" t="s">
        <v>56</v>
      </c>
      <c r="D25" s="478">
        <f>E25*E5</f>
        <v>57800</v>
      </c>
      <c r="E25" s="479">
        <v>425</v>
      </c>
      <c r="F25" s="587">
        <f>M20</f>
        <v>40800</v>
      </c>
      <c r="G25" s="588">
        <f>F25/totalunits</f>
        <v>300</v>
      </c>
    </row>
    <row r="26" spans="1:13">
      <c r="B26" s="409" t="s">
        <v>299</v>
      </c>
      <c r="D26" s="478">
        <v>0</v>
      </c>
      <c r="E26" s="479">
        <f>D26/E5</f>
        <v>0</v>
      </c>
      <c r="F26" s="587"/>
      <c r="G26" s="588">
        <f>F26/totalunits</f>
        <v>0</v>
      </c>
    </row>
    <row r="27" spans="1:13">
      <c r="B27" s="409"/>
      <c r="D27" s="478"/>
      <c r="E27" s="481"/>
      <c r="F27" s="587"/>
      <c r="G27" s="591"/>
    </row>
    <row r="28" spans="1:13" ht="15.4" thickBot="1">
      <c r="B28" s="409" t="s">
        <v>107</v>
      </c>
      <c r="D28" s="484">
        <f>SUM(D23:D26)</f>
        <v>1694068.1091935798</v>
      </c>
      <c r="E28" s="630">
        <f>D28/E5</f>
        <v>12456.383155835145</v>
      </c>
      <c r="F28" s="592">
        <f>SUM(F23:F26)</f>
        <v>1267883.80712</v>
      </c>
      <c r="G28" s="593">
        <f>F28/totalunits</f>
        <v>9322.6750523529408</v>
      </c>
    </row>
    <row r="29" spans="1:13">
      <c r="F29" s="471"/>
    </row>
    <row r="30" spans="1:13">
      <c r="F30" s="471"/>
    </row>
    <row r="31" spans="1:13">
      <c r="F31" s="471"/>
    </row>
    <row r="32" spans="1:13">
      <c r="D32" s="633"/>
      <c r="F32" s="472"/>
    </row>
    <row r="33" spans="6:6">
      <c r="F33" s="471"/>
    </row>
  </sheetData>
  <mergeCells count="2">
    <mergeCell ref="D6:E6"/>
    <mergeCell ref="F6:G6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 published="0" codeName="Sheet8">
    <pageSetUpPr fitToPage="1"/>
  </sheetPr>
  <dimension ref="A1:V47"/>
  <sheetViews>
    <sheetView showGridLines="0" view="pageBreakPreview" zoomScale="80" zoomScaleNormal="100" zoomScaleSheetLayoutView="80" zoomScalePageLayoutView="75" workbookViewId="0">
      <selection activeCell="G43" sqref="G43"/>
    </sheetView>
  </sheetViews>
  <sheetFormatPr defaultColWidth="9.6640625" defaultRowHeight="15"/>
  <cols>
    <col min="1" max="1" width="24.27734375" style="8" customWidth="1"/>
    <col min="2" max="2" width="7.6640625" style="8" customWidth="1"/>
    <col min="3" max="3" width="11.6640625" style="8" customWidth="1"/>
    <col min="4" max="4" width="7.6640625" style="8" customWidth="1"/>
    <col min="5" max="5" width="11.21875" style="8" customWidth="1"/>
    <col min="6" max="6" width="7.6640625" style="8" customWidth="1"/>
    <col min="7" max="7" width="14.77734375" style="8" customWidth="1"/>
    <col min="8" max="8" width="7.27734375" style="8" customWidth="1"/>
    <col min="9" max="9" width="1.5546875" style="8" customWidth="1"/>
    <col min="10" max="10" width="11.44140625" style="8" customWidth="1"/>
    <col min="11" max="12" width="13.27734375" style="8" customWidth="1"/>
    <col min="13" max="15" width="13.0546875" style="8" customWidth="1"/>
    <col min="16" max="17" width="13.27734375" style="8" customWidth="1"/>
    <col min="18" max="18" width="12.6640625" style="8" customWidth="1"/>
    <col min="19" max="19" width="10.6640625" style="8" bestFit="1" customWidth="1"/>
    <col min="20" max="16384" width="9.6640625" style="8"/>
  </cols>
  <sheetData>
    <row r="1" spans="1:22" ht="17.649999999999999">
      <c r="A1" s="44" t="str">
        <f>'Sources and Use'!A1</f>
        <v>MDG Design and Construction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56"/>
      <c r="Q1" s="111"/>
      <c r="R1" s="4"/>
      <c r="S1" s="1"/>
      <c r="T1" s="1"/>
    </row>
    <row r="2" spans="1:22" ht="17.649999999999999">
      <c r="A2" s="44" t="str">
        <f>'Sources and Use'!A2</f>
        <v>Virgin Islands: Piggy/Hamilton RAD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57"/>
      <c r="Q2" s="111"/>
      <c r="S2" s="1"/>
      <c r="T2" s="1"/>
    </row>
    <row r="3" spans="1:22" ht="18" thickBot="1">
      <c r="A3" s="46" t="str">
        <f>'Sources and Use'!A3</f>
        <v>4% LIHTC and FEMA/CDBG-DR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49" t="s">
        <v>75</v>
      </c>
      <c r="P3" s="58">
        <f>'Sources and Use'!$E$4</f>
        <v>136</v>
      </c>
      <c r="Q3" s="111"/>
      <c r="R3" s="1"/>
      <c r="S3" s="1"/>
      <c r="T3" s="1"/>
    </row>
    <row r="4" spans="1:22" s="17" customFormat="1" ht="15.75" customHeight="1">
      <c r="A4" s="219" t="s">
        <v>21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98"/>
    </row>
    <row r="5" spans="1:22">
      <c r="A5" s="39"/>
      <c r="B5" s="361"/>
      <c r="C5" s="361"/>
      <c r="D5" s="361"/>
      <c r="E5" s="361"/>
      <c r="F5" s="361"/>
      <c r="G5" s="361"/>
      <c r="H5" s="361"/>
      <c r="I5" s="31"/>
      <c r="J5" s="62"/>
      <c r="K5" s="62"/>
      <c r="L5" s="62"/>
      <c r="M5" s="62"/>
      <c r="N5" s="62"/>
      <c r="O5" s="62"/>
      <c r="P5" s="62"/>
      <c r="Q5" s="68"/>
      <c r="R5" s="68"/>
      <c r="S5" s="5"/>
      <c r="T5" s="1"/>
    </row>
    <row r="6" spans="1:22" ht="26" customHeight="1">
      <c r="A6" s="312" t="s">
        <v>58</v>
      </c>
      <c r="B6" s="1127" t="s">
        <v>309</v>
      </c>
      <c r="C6" s="1127"/>
      <c r="D6" s="1127" t="s">
        <v>157</v>
      </c>
      <c r="E6" s="1127"/>
      <c r="F6" s="1128" t="s">
        <v>127</v>
      </c>
      <c r="G6" s="1128"/>
      <c r="H6" s="313"/>
      <c r="I6" s="31"/>
      <c r="J6" s="777" t="s">
        <v>77</v>
      </c>
      <c r="K6" s="778"/>
      <c r="L6" s="779"/>
      <c r="M6" s="774"/>
      <c r="N6" s="774"/>
      <c r="O6" s="774"/>
      <c r="P6" s="780"/>
      <c r="Q6" s="145"/>
      <c r="R6" s="96"/>
      <c r="S6" s="5"/>
      <c r="T6" s="1"/>
    </row>
    <row r="7" spans="1:22">
      <c r="A7" s="314" t="s">
        <v>67</v>
      </c>
      <c r="B7" s="644"/>
      <c r="C7" s="645">
        <f>'Units &amp; Income'!H40</f>
        <v>2322014.16</v>
      </c>
      <c r="D7" s="31"/>
      <c r="E7" s="31">
        <f>'Units &amp; Income'!H40</f>
        <v>2322014.16</v>
      </c>
      <c r="F7" s="100"/>
      <c r="G7" s="31">
        <f>'Units &amp; Income'!H40</f>
        <v>2322014.16</v>
      </c>
      <c r="H7" s="100"/>
      <c r="I7" s="39"/>
      <c r="J7" s="781"/>
      <c r="K7" s="97"/>
      <c r="L7" s="98"/>
      <c r="M7" s="99"/>
      <c r="N7" s="99"/>
      <c r="O7" s="99"/>
      <c r="P7" s="222"/>
      <c r="Q7" s="508"/>
      <c r="R7" s="23"/>
      <c r="S7" s="5"/>
      <c r="T7" s="1"/>
    </row>
    <row r="8" spans="1:22">
      <c r="A8" s="315" t="s">
        <v>57</v>
      </c>
      <c r="B8" s="646">
        <v>0.1</v>
      </c>
      <c r="C8" s="645">
        <f>C7*-B8</f>
        <v>-232201.41600000003</v>
      </c>
      <c r="D8" s="462">
        <v>0.05</v>
      </c>
      <c r="E8" s="31">
        <f>D8*-E7</f>
        <v>-116100.70800000001</v>
      </c>
      <c r="F8" s="462">
        <v>0.05</v>
      </c>
      <c r="G8" s="31">
        <f>$F8*-G7</f>
        <v>-116100.70800000001</v>
      </c>
      <c r="H8" s="100"/>
      <c r="I8" s="39"/>
      <c r="J8" s="782"/>
      <c r="K8" s="783"/>
      <c r="L8" s="101"/>
      <c r="M8" s="60"/>
      <c r="N8" s="60"/>
      <c r="O8" s="60"/>
      <c r="P8" s="222"/>
      <c r="Q8" s="19"/>
      <c r="R8" s="23"/>
      <c r="S8" s="5"/>
    </row>
    <row r="9" spans="1:22">
      <c r="A9" s="316" t="s">
        <v>110</v>
      </c>
      <c r="B9" s="647"/>
      <c r="C9" s="648">
        <f>C7+C8</f>
        <v>2089812.7440000002</v>
      </c>
      <c r="D9" s="271"/>
      <c r="E9" s="272">
        <f>E7+E8</f>
        <v>2205913.452</v>
      </c>
      <c r="F9" s="271"/>
      <c r="G9" s="272">
        <f>G7+G8</f>
        <v>2205913.452</v>
      </c>
      <c r="H9" s="272"/>
      <c r="I9" s="39"/>
      <c r="J9" s="782"/>
      <c r="K9" s="783"/>
      <c r="L9" s="101"/>
      <c r="M9" s="60"/>
      <c r="N9" s="60"/>
      <c r="O9" s="60"/>
      <c r="P9" s="222"/>
      <c r="Q9" s="19"/>
      <c r="R9" s="23"/>
      <c r="S9" s="5"/>
    </row>
    <row r="10" spans="1:22">
      <c r="A10" s="175"/>
      <c r="B10" s="60"/>
      <c r="C10" s="60"/>
      <c r="D10" s="19"/>
      <c r="E10" s="19"/>
      <c r="F10" s="19"/>
      <c r="G10" s="19"/>
      <c r="H10" s="19"/>
      <c r="I10" s="39"/>
      <c r="J10" s="782"/>
      <c r="K10" s="783"/>
      <c r="L10" s="61"/>
      <c r="M10" s="60"/>
      <c r="N10" s="60"/>
      <c r="O10" s="60"/>
      <c r="P10" s="222"/>
      <c r="Q10" s="19"/>
      <c r="R10" s="23"/>
      <c r="S10" s="5"/>
    </row>
    <row r="11" spans="1:22">
      <c r="A11" s="314" t="s">
        <v>93</v>
      </c>
      <c r="B11" s="649"/>
      <c r="C11" s="645"/>
      <c r="D11" s="43"/>
      <c r="E11" s="31"/>
      <c r="F11" s="43"/>
      <c r="G11" s="31"/>
      <c r="H11" s="100"/>
      <c r="I11" s="39"/>
      <c r="J11" s="784"/>
      <c r="K11" s="785">
        <v>0.05</v>
      </c>
      <c r="L11" s="786" t="s">
        <v>303</v>
      </c>
      <c r="M11" s="775"/>
      <c r="N11" s="775"/>
      <c r="O11" s="775"/>
      <c r="P11" s="787"/>
      <c r="Q11" s="153"/>
      <c r="R11" s="9"/>
      <c r="S11" s="5"/>
      <c r="V11" s="62"/>
    </row>
    <row r="12" spans="1:22">
      <c r="A12" s="314"/>
      <c r="B12" s="649"/>
      <c r="C12" s="645">
        <f>E12</f>
        <v>0</v>
      </c>
      <c r="D12" s="43"/>
      <c r="E12" s="31">
        <f>'Units &amp; Income'!H26</f>
        <v>0</v>
      </c>
      <c r="F12" s="43"/>
      <c r="G12" s="31"/>
      <c r="H12" s="100"/>
      <c r="I12" s="39"/>
      <c r="J12" s="168"/>
      <c r="K12" s="102"/>
      <c r="L12" s="103"/>
      <c r="M12" s="60"/>
      <c r="N12" s="60"/>
      <c r="O12" s="60"/>
      <c r="P12" s="60"/>
      <c r="Q12" s="99"/>
      <c r="R12" s="9"/>
      <c r="S12" s="5"/>
    </row>
    <row r="13" spans="1:22">
      <c r="A13" s="317" t="s">
        <v>291</v>
      </c>
      <c r="B13" s="646">
        <v>0.1</v>
      </c>
      <c r="C13" s="645">
        <f>C12*-B13</f>
        <v>0</v>
      </c>
      <c r="D13" s="462">
        <v>0.03</v>
      </c>
      <c r="E13" s="31">
        <f>D13*-E12</f>
        <v>0</v>
      </c>
      <c r="F13" s="462">
        <v>0.05</v>
      </c>
      <c r="G13" s="31">
        <f>$F13*-G12</f>
        <v>0</v>
      </c>
      <c r="H13" s="62"/>
      <c r="I13" s="39"/>
      <c r="J13" s="788" t="s">
        <v>116</v>
      </c>
      <c r="K13" s="789"/>
      <c r="L13" s="790"/>
      <c r="M13" s="790"/>
      <c r="N13" s="790"/>
      <c r="O13" s="790"/>
      <c r="P13" s="780"/>
      <c r="Q13" s="212"/>
      <c r="R13" s="5"/>
      <c r="S13" s="5"/>
      <c r="T13" s="1"/>
    </row>
    <row r="14" spans="1:22">
      <c r="A14" s="316" t="s">
        <v>292</v>
      </c>
      <c r="B14" s="647"/>
      <c r="C14" s="648">
        <f>C12+C13</f>
        <v>0</v>
      </c>
      <c r="D14" s="271"/>
      <c r="E14" s="272">
        <f>E12+E13</f>
        <v>0</v>
      </c>
      <c r="F14" s="271"/>
      <c r="G14" s="272">
        <f>G12+G13</f>
        <v>0</v>
      </c>
      <c r="H14" s="100"/>
      <c r="I14" s="39"/>
      <c r="J14" s="555"/>
      <c r="K14" s="513"/>
      <c r="L14" s="513"/>
      <c r="M14" s="513"/>
      <c r="N14" s="513"/>
      <c r="O14" s="513"/>
      <c r="P14" s="222"/>
      <c r="Q14" s="212"/>
      <c r="R14" s="5"/>
      <c r="S14" s="5"/>
      <c r="T14" s="1"/>
    </row>
    <row r="15" spans="1:22">
      <c r="A15" s="314"/>
      <c r="B15" s="649"/>
      <c r="C15" s="645"/>
      <c r="D15" s="43"/>
      <c r="E15" s="31"/>
      <c r="F15" s="43"/>
      <c r="G15" s="31"/>
      <c r="H15" s="100"/>
      <c r="I15" s="41"/>
      <c r="J15" s="555"/>
      <c r="K15" s="104" t="s">
        <v>116</v>
      </c>
      <c r="L15" s="105">
        <f>-PV(K11/12,L$30*12,MIN(G34,G35)/12,0)</f>
        <v>4729532.6456092726</v>
      </c>
      <c r="M15" s="105">
        <f>L15/totalunits</f>
        <v>34775.975335362302</v>
      </c>
      <c r="N15" s="225" t="s">
        <v>108</v>
      </c>
      <c r="O15" s="513"/>
      <c r="P15" s="222"/>
      <c r="Q15" s="225"/>
      <c r="R15" s="62"/>
      <c r="S15" s="5"/>
      <c r="T15" s="1"/>
      <c r="V15" s="62"/>
    </row>
    <row r="16" spans="1:22">
      <c r="B16" s="112"/>
      <c r="C16" s="112"/>
      <c r="I16" s="41"/>
      <c r="J16" s="555"/>
      <c r="K16" s="104" t="s">
        <v>241</v>
      </c>
      <c r="L16" s="105">
        <f>FLOOR(L15,5000)</f>
        <v>4725000</v>
      </c>
      <c r="M16" s="105">
        <f>L16/totalunits</f>
        <v>34742.647058823532</v>
      </c>
      <c r="N16" s="225" t="s">
        <v>108</v>
      </c>
      <c r="O16" s="513"/>
      <c r="P16" s="222"/>
      <c r="Q16" s="225"/>
      <c r="R16" s="5"/>
      <c r="S16" s="5"/>
      <c r="T16" s="1"/>
    </row>
    <row r="17" spans="1:20">
      <c r="A17" s="370" t="s">
        <v>59</v>
      </c>
      <c r="B17" s="650"/>
      <c r="C17" s="651">
        <f>C9+C14</f>
        <v>2089812.7440000002</v>
      </c>
      <c r="D17" s="371"/>
      <c r="E17" s="318">
        <f>E9+E14</f>
        <v>2205913.452</v>
      </c>
      <c r="F17" s="318"/>
      <c r="G17" s="318">
        <f>G9+G14</f>
        <v>2205913.452</v>
      </c>
      <c r="H17" s="100"/>
      <c r="I17" s="19"/>
      <c r="J17" s="555"/>
      <c r="K17" s="513"/>
      <c r="L17" s="105"/>
      <c r="M17" s="274"/>
      <c r="N17" s="513"/>
      <c r="O17" s="513"/>
      <c r="P17" s="222"/>
      <c r="Q17" s="225"/>
      <c r="R17" s="5"/>
      <c r="S17" s="62"/>
    </row>
    <row r="18" spans="1:20">
      <c r="A18" s="62"/>
      <c r="B18" s="68"/>
      <c r="C18" s="68"/>
      <c r="D18" s="62"/>
      <c r="E18" s="62"/>
      <c r="F18" s="62"/>
      <c r="G18" s="62"/>
      <c r="H18" s="318"/>
      <c r="I18" s="19"/>
      <c r="J18" s="555"/>
      <c r="K18" s="104" t="s">
        <v>235</v>
      </c>
      <c r="L18" s="105"/>
      <c r="M18" s="105"/>
      <c r="N18" s="225"/>
      <c r="O18" s="513"/>
      <c r="P18" s="222"/>
      <c r="Q18" s="225"/>
      <c r="R18" s="5"/>
      <c r="S18" s="62"/>
    </row>
    <row r="19" spans="1:20">
      <c r="A19" s="145" t="s">
        <v>90</v>
      </c>
      <c r="B19" s="68"/>
      <c r="C19" s="649"/>
      <c r="D19" s="210" t="s">
        <v>108</v>
      </c>
      <c r="E19" s="143"/>
      <c r="F19" s="210" t="s">
        <v>108</v>
      </c>
      <c r="G19" s="143"/>
      <c r="H19" s="210" t="s">
        <v>108</v>
      </c>
      <c r="I19" s="19"/>
      <c r="J19" s="555"/>
      <c r="K19" s="104" t="s">
        <v>236</v>
      </c>
      <c r="L19" s="105"/>
      <c r="M19" s="619"/>
      <c r="N19" s="225" t="s">
        <v>279</v>
      </c>
      <c r="O19" s="776"/>
      <c r="P19" s="222"/>
      <c r="Q19" s="225"/>
      <c r="R19" s="5"/>
      <c r="S19" s="62"/>
    </row>
    <row r="20" spans="1:20">
      <c r="A20" s="317" t="str">
        <f>'Units &amp; Income'!A59</f>
        <v>Payroll</v>
      </c>
      <c r="B20" s="68"/>
      <c r="C20" s="645">
        <f>'Units &amp; Income'!B63</f>
        <v>314704</v>
      </c>
      <c r="D20" s="277">
        <f t="shared" ref="D20:D21" si="0">C20/totalunits</f>
        <v>2314</v>
      </c>
      <c r="E20" s="99">
        <f>'Units &amp; Income'!D63</f>
        <v>314704</v>
      </c>
      <c r="F20" s="278">
        <f t="shared" ref="F20:F21" si="1">E20/totalunits</f>
        <v>2314</v>
      </c>
      <c r="G20" s="99">
        <f>E20</f>
        <v>314704</v>
      </c>
      <c r="H20" s="278">
        <f t="shared" ref="H20:H26" si="2">G20/totalunits</f>
        <v>2314</v>
      </c>
      <c r="I20" s="19"/>
      <c r="J20" s="555"/>
      <c r="K20" s="104" t="s">
        <v>237</v>
      </c>
      <c r="L20" s="105"/>
      <c r="M20" s="594"/>
      <c r="N20" s="225"/>
      <c r="O20" s="513"/>
      <c r="P20" s="222"/>
      <c r="Q20" s="106"/>
      <c r="R20" s="5"/>
      <c r="S20" s="62"/>
    </row>
    <row r="21" spans="1:20">
      <c r="A21" s="317" t="str">
        <f>'Units &amp; Income'!A65</f>
        <v>Utilities</v>
      </c>
      <c r="B21" s="68"/>
      <c r="C21" s="645">
        <f>'Units &amp; Income'!B69</f>
        <v>214728.50207357999</v>
      </c>
      <c r="D21" s="277">
        <f t="shared" si="0"/>
        <v>1578.8860446586764</v>
      </c>
      <c r="E21" s="99">
        <f>'Units &amp; Income'!D69</f>
        <v>214728.50207357999</v>
      </c>
      <c r="F21" s="278">
        <f t="shared" si="1"/>
        <v>1578.8860446586764</v>
      </c>
      <c r="G21" s="99">
        <f t="shared" ref="G21:G26" si="3">E21</f>
        <v>214728.50207357999</v>
      </c>
      <c r="H21" s="278">
        <f t="shared" si="2"/>
        <v>1578.8860446586764</v>
      </c>
      <c r="I21" s="19"/>
      <c r="J21" s="791"/>
      <c r="K21" s="513"/>
      <c r="L21" s="513"/>
      <c r="M21" s="274"/>
      <c r="N21" s="513"/>
      <c r="O21" s="513"/>
      <c r="P21" s="222"/>
      <c r="Q21" s="225"/>
      <c r="R21" s="5"/>
      <c r="S21" s="62"/>
    </row>
    <row r="22" spans="1:20">
      <c r="A22" s="317" t="str">
        <f>'Units &amp; Income'!A71</f>
        <v>Admin</v>
      </c>
      <c r="B22" s="68"/>
      <c r="C22" s="645">
        <f>'Units &amp; Income'!B79-C23</f>
        <v>749494.64</v>
      </c>
      <c r="D22" s="277">
        <f>C22/totalunits</f>
        <v>5510.99</v>
      </c>
      <c r="E22" s="99">
        <f>'Units &amp; Income'!D79-E23</f>
        <v>789478.64</v>
      </c>
      <c r="F22" s="278">
        <f>E22/totalunits</f>
        <v>5804.99</v>
      </c>
      <c r="G22" s="99">
        <f>E22</f>
        <v>789478.64</v>
      </c>
      <c r="H22" s="278">
        <f t="shared" si="2"/>
        <v>5804.99</v>
      </c>
      <c r="I22" s="19"/>
      <c r="J22" s="792"/>
      <c r="K22" s="793" t="s">
        <v>240</v>
      </c>
      <c r="L22" s="794">
        <f>L16</f>
        <v>4725000</v>
      </c>
      <c r="M22" s="795">
        <f>L22/totalunits</f>
        <v>34742.647058823532</v>
      </c>
      <c r="N22" s="796" t="s">
        <v>108</v>
      </c>
      <c r="O22" s="773"/>
      <c r="P22" s="787"/>
      <c r="Q22" s="62"/>
      <c r="R22" s="62"/>
      <c r="S22" s="62"/>
    </row>
    <row r="23" spans="1:20">
      <c r="A23" s="317" t="s">
        <v>71</v>
      </c>
      <c r="B23" s="68"/>
      <c r="C23" s="645">
        <f>'Units &amp; Income'!B73</f>
        <v>132354.80712000001</v>
      </c>
      <c r="D23" s="277">
        <f>C23/totalunits</f>
        <v>973.19711117647068</v>
      </c>
      <c r="E23" s="99">
        <f>'Units &amp; Income'!C73</f>
        <v>132354.80712000001</v>
      </c>
      <c r="F23" s="278">
        <f>E23/totalunits</f>
        <v>973.19711117647068</v>
      </c>
      <c r="G23" s="99">
        <f>'Units &amp; Income'!D73</f>
        <v>132354.80712000001</v>
      </c>
      <c r="H23" s="278">
        <f t="shared" si="2"/>
        <v>973.19711117647068</v>
      </c>
      <c r="I23" s="19"/>
      <c r="P23" s="513"/>
      <c r="R23" s="5"/>
      <c r="S23" s="62"/>
    </row>
    <row r="24" spans="1:20">
      <c r="A24" s="317" t="str">
        <f>'Units &amp; Income'!A81</f>
        <v>Maintenance</v>
      </c>
      <c r="B24" s="68"/>
      <c r="C24" s="645">
        <f>'Units &amp; Income'!B83</f>
        <v>185002.16</v>
      </c>
      <c r="D24" s="277">
        <f t="shared" ref="D24:D26" si="4">C24/totalunits</f>
        <v>1360.31</v>
      </c>
      <c r="E24" s="99">
        <f>'Units &amp; Income'!D83</f>
        <v>185002.16</v>
      </c>
      <c r="F24" s="278">
        <f t="shared" ref="F24:F26" si="5">E24/totalunits</f>
        <v>1360.31</v>
      </c>
      <c r="G24" s="99">
        <f t="shared" si="3"/>
        <v>185002.16</v>
      </c>
      <c r="H24" s="278">
        <f t="shared" si="2"/>
        <v>1360.31</v>
      </c>
      <c r="I24" s="19"/>
      <c r="J24" s="797" t="s">
        <v>117</v>
      </c>
      <c r="K24" s="798"/>
      <c r="L24" s="799"/>
      <c r="M24" s="799"/>
      <c r="N24" s="799"/>
      <c r="O24" s="799"/>
      <c r="P24" s="780"/>
      <c r="R24" s="14"/>
      <c r="S24" s="62"/>
    </row>
    <row r="25" spans="1:20">
      <c r="A25" s="317" t="str">
        <f>'Units &amp; Income'!A86</f>
        <v>Building Reserve</v>
      </c>
      <c r="B25" s="68"/>
      <c r="C25" s="645">
        <f>'Units &amp; Income'!B86</f>
        <v>0</v>
      </c>
      <c r="D25" s="277">
        <f t="shared" si="4"/>
        <v>0</v>
      </c>
      <c r="E25" s="99">
        <f>'Units &amp; Income'!D86</f>
        <v>57800</v>
      </c>
      <c r="F25" s="278">
        <f t="shared" si="5"/>
        <v>425</v>
      </c>
      <c r="G25" s="99">
        <f t="shared" si="3"/>
        <v>57800</v>
      </c>
      <c r="H25" s="278">
        <f t="shared" si="2"/>
        <v>425</v>
      </c>
      <c r="I25" s="19"/>
      <c r="J25" s="555"/>
      <c r="K25" s="39"/>
      <c r="L25" s="107" t="s">
        <v>70</v>
      </c>
      <c r="M25" s="107" t="s">
        <v>115</v>
      </c>
      <c r="N25" s="107" t="s">
        <v>162</v>
      </c>
      <c r="O25" s="107" t="s">
        <v>343</v>
      </c>
      <c r="P25" s="228" t="s">
        <v>107</v>
      </c>
      <c r="Q25" s="62"/>
      <c r="S25" s="5"/>
      <c r="T25" s="62"/>
    </row>
    <row r="26" spans="1:20">
      <c r="A26" s="317" t="str">
        <f>'Units &amp; Income'!A88</f>
        <v>Real Estate Tax</v>
      </c>
      <c r="B26" s="68"/>
      <c r="C26" s="645">
        <f>'Units &amp; Income'!B88</f>
        <v>0</v>
      </c>
      <c r="D26" s="277">
        <f t="shared" si="4"/>
        <v>0</v>
      </c>
      <c r="E26" s="99">
        <f>'Units &amp; Income'!D88</f>
        <v>0</v>
      </c>
      <c r="F26" s="278">
        <f t="shared" si="5"/>
        <v>0</v>
      </c>
      <c r="G26" s="99">
        <f t="shared" si="3"/>
        <v>0</v>
      </c>
      <c r="H26" s="278">
        <f t="shared" si="2"/>
        <v>0</v>
      </c>
      <c r="I26" s="17"/>
      <c r="J26" s="555"/>
      <c r="K26" s="39"/>
      <c r="L26" s="108">
        <f>L22</f>
        <v>4725000</v>
      </c>
      <c r="M26" s="108">
        <f>'Sources and Use'!C25</f>
        <v>11000000</v>
      </c>
      <c r="N26" s="108">
        <f>'Sources and Use'!C26</f>
        <v>0</v>
      </c>
      <c r="O26" s="108">
        <f>'Sources and Use'!C27</f>
        <v>8050000</v>
      </c>
      <c r="P26" s="229">
        <f>SUM(L26:O26)</f>
        <v>23775000</v>
      </c>
      <c r="Q26" s="107"/>
      <c r="S26" s="5"/>
      <c r="T26" s="62"/>
    </row>
    <row r="27" spans="1:20">
      <c r="A27" s="317"/>
      <c r="B27" s="68"/>
      <c r="C27" s="645"/>
      <c r="D27" s="277"/>
      <c r="E27" s="99"/>
      <c r="F27" s="278"/>
      <c r="G27" s="99"/>
      <c r="H27" s="278"/>
      <c r="I27" s="19"/>
      <c r="J27" s="782"/>
      <c r="K27" s="506" t="s">
        <v>129</v>
      </c>
      <c r="L27" s="800">
        <v>0.05</v>
      </c>
      <c r="M27" s="801">
        <v>0</v>
      </c>
      <c r="N27" s="801">
        <v>0</v>
      </c>
      <c r="O27" s="801">
        <v>0</v>
      </c>
      <c r="P27" s="230"/>
      <c r="S27" s="12"/>
      <c r="T27" s="62"/>
    </row>
    <row r="28" spans="1:20">
      <c r="A28" s="319" t="s">
        <v>109</v>
      </c>
      <c r="B28" s="652"/>
      <c r="C28" s="653">
        <f t="shared" ref="C28:H28" si="6">SUM(C20:C27)</f>
        <v>1596284.10919358</v>
      </c>
      <c r="D28" s="270">
        <f t="shared" si="6"/>
        <v>11737.383155835147</v>
      </c>
      <c r="E28" s="269">
        <f t="shared" si="6"/>
        <v>1694068.10919358</v>
      </c>
      <c r="F28" s="270">
        <f t="shared" si="6"/>
        <v>12456.383155835147</v>
      </c>
      <c r="G28" s="269">
        <f t="shared" si="6"/>
        <v>1694068.10919358</v>
      </c>
      <c r="H28" s="270">
        <f t="shared" si="6"/>
        <v>12456.383155835147</v>
      </c>
      <c r="I28" s="19"/>
      <c r="J28" s="791"/>
      <c r="K28" s="506" t="s">
        <v>130</v>
      </c>
      <c r="L28" s="800">
        <f>L27</f>
        <v>0.05</v>
      </c>
      <c r="M28" s="801">
        <v>0.01</v>
      </c>
      <c r="N28" s="801">
        <v>0.01</v>
      </c>
      <c r="O28" s="801">
        <v>0.01</v>
      </c>
      <c r="P28" s="222"/>
      <c r="S28" s="62"/>
      <c r="T28" s="62"/>
    </row>
    <row r="29" spans="1:20">
      <c r="A29" s="68"/>
      <c r="B29" s="68"/>
      <c r="C29" s="654"/>
      <c r="D29" s="68"/>
      <c r="E29" s="68"/>
      <c r="F29" s="68"/>
      <c r="G29" s="68"/>
      <c r="H29" s="62"/>
      <c r="I29" s="19"/>
      <c r="J29" s="555"/>
      <c r="K29" s="802" t="s">
        <v>62</v>
      </c>
      <c r="L29" s="803">
        <v>30</v>
      </c>
      <c r="M29" s="803">
        <f>L29</f>
        <v>30</v>
      </c>
      <c r="N29" s="803">
        <f t="shared" ref="N29:O29" si="7">M29</f>
        <v>30</v>
      </c>
      <c r="O29" s="803">
        <f t="shared" si="7"/>
        <v>30</v>
      </c>
      <c r="P29" s="231"/>
      <c r="S29" s="62"/>
      <c r="T29" s="62"/>
    </row>
    <row r="30" spans="1:20">
      <c r="A30" s="145" t="s">
        <v>63</v>
      </c>
      <c r="B30" s="655"/>
      <c r="C30" s="656">
        <f>C17-C28</f>
        <v>493528.63480642019</v>
      </c>
      <c r="D30" s="144"/>
      <c r="E30" s="144">
        <f>E17-E28</f>
        <v>511845.34280642006</v>
      </c>
      <c r="F30" s="144"/>
      <c r="G30" s="144">
        <f>G17-G28</f>
        <v>511845.34280642006</v>
      </c>
      <c r="H30" s="62"/>
      <c r="I30" s="19"/>
      <c r="J30" s="791"/>
      <c r="K30" s="802" t="s">
        <v>125</v>
      </c>
      <c r="L30" s="803">
        <v>30</v>
      </c>
      <c r="M30" s="513"/>
      <c r="N30" s="513"/>
      <c r="O30" s="513"/>
      <c r="P30" s="222"/>
      <c r="S30" s="62"/>
      <c r="T30" s="62"/>
    </row>
    <row r="31" spans="1:20">
      <c r="G31" s="373"/>
      <c r="I31" s="19"/>
      <c r="J31" s="804"/>
      <c r="K31" s="104" t="s">
        <v>125</v>
      </c>
      <c r="L31" s="146"/>
      <c r="M31" s="36">
        <f>M26-M32</f>
        <v>-3846591.9738430176</v>
      </c>
      <c r="N31" s="36">
        <f t="shared" ref="N31:O31" si="8">N26-N32</f>
        <v>0</v>
      </c>
      <c r="O31" s="36">
        <f t="shared" si="8"/>
        <v>-2815005.9444942083</v>
      </c>
      <c r="P31" s="232"/>
      <c r="S31" s="62"/>
      <c r="T31" s="62"/>
    </row>
    <row r="32" spans="1:20">
      <c r="A32" s="31"/>
      <c r="B32" s="31"/>
      <c r="C32" s="31"/>
      <c r="D32" s="31"/>
      <c r="E32" s="100"/>
      <c r="F32" s="100"/>
      <c r="G32" s="100"/>
      <c r="H32" s="19"/>
      <c r="I32" s="19"/>
      <c r="J32" s="555"/>
      <c r="K32" s="104" t="s">
        <v>147</v>
      </c>
      <c r="L32" s="143"/>
      <c r="M32" s="166">
        <f>-FV(M28/12,M29*12,-M34/12,M26)</f>
        <v>14846591.973843018</v>
      </c>
      <c r="N32" s="166">
        <f t="shared" ref="N32:O32" si="9">-FV(N28/12,N29*12,-N34/12,N26)</f>
        <v>0</v>
      </c>
      <c r="O32" s="166">
        <f t="shared" si="9"/>
        <v>10865005.944494208</v>
      </c>
      <c r="P32" s="232"/>
      <c r="S32" s="62"/>
      <c r="T32" s="62"/>
    </row>
    <row r="33" spans="1:20">
      <c r="A33" s="19"/>
      <c r="B33" s="320"/>
      <c r="C33" s="19"/>
      <c r="D33" s="19"/>
      <c r="E33" s="19"/>
      <c r="F33" s="218"/>
      <c r="G33" s="19"/>
      <c r="H33" s="100"/>
      <c r="I33" s="19"/>
      <c r="J33" s="782"/>
      <c r="K33" s="104" t="s">
        <v>60</v>
      </c>
      <c r="L33" s="142"/>
      <c r="M33" s="109"/>
      <c r="N33" s="109"/>
      <c r="O33" s="109"/>
      <c r="P33" s="230"/>
      <c r="S33" s="66"/>
      <c r="T33" s="62"/>
    </row>
    <row r="34" spans="1:20">
      <c r="A34" s="321" t="s">
        <v>89</v>
      </c>
      <c r="B34" s="463">
        <v>1.68</v>
      </c>
      <c r="C34" s="19"/>
      <c r="D34" s="19"/>
      <c r="E34" s="100"/>
      <c r="F34" s="100"/>
      <c r="G34" s="100">
        <f>$G$30/$B$34</f>
        <v>304669.84690858336</v>
      </c>
      <c r="H34" s="322"/>
      <c r="I34" s="19"/>
      <c r="J34" s="805"/>
      <c r="K34" s="104" t="s">
        <v>146</v>
      </c>
      <c r="L34" s="143">
        <f>'Mortgage - Yearly'!I7</f>
        <v>304377.8602478829</v>
      </c>
      <c r="M34" s="166">
        <f>M26*M27</f>
        <v>0</v>
      </c>
      <c r="N34" s="166">
        <f t="shared" ref="N34:O34" si="10">N26*N27</f>
        <v>0</v>
      </c>
      <c r="O34" s="166">
        <f t="shared" si="10"/>
        <v>0</v>
      </c>
      <c r="P34" s="244">
        <f>SUM(L34:O34)</f>
        <v>304377.8602478829</v>
      </c>
      <c r="S34" s="62"/>
      <c r="T34" s="62"/>
    </row>
    <row r="35" spans="1:20">
      <c r="A35" s="233" t="s">
        <v>101</v>
      </c>
      <c r="B35" s="463">
        <v>1.05</v>
      </c>
      <c r="C35" s="323"/>
      <c r="D35" s="323"/>
      <c r="E35" s="227"/>
      <c r="F35" s="227"/>
      <c r="G35" s="634">
        <f>G17/B35-G28</f>
        <v>406801.84509213432</v>
      </c>
      <c r="H35" s="323"/>
      <c r="I35" s="19"/>
      <c r="J35" s="806"/>
      <c r="K35" s="793" t="s">
        <v>104</v>
      </c>
      <c r="L35" s="807">
        <f>$G$30/L34</f>
        <v>1.6816116073277383</v>
      </c>
      <c r="M35" s="808"/>
      <c r="N35" s="808"/>
      <c r="O35" s="808"/>
      <c r="P35" s="809">
        <f>$G$30/P34</f>
        <v>1.6816116073277383</v>
      </c>
      <c r="S35" s="65"/>
      <c r="T35" s="164"/>
    </row>
    <row r="36" spans="1:20">
      <c r="A36" s="35"/>
      <c r="G36" s="170"/>
      <c r="I36" s="19"/>
      <c r="R36" s="62"/>
      <c r="S36" s="110"/>
    </row>
    <row r="37" spans="1:20">
      <c r="A37" s="34" t="s">
        <v>182</v>
      </c>
      <c r="F37" s="224"/>
      <c r="G37" s="113"/>
      <c r="I37" s="41"/>
      <c r="J37" s="812" t="s">
        <v>133</v>
      </c>
      <c r="K37" s="813"/>
      <c r="L37" s="813"/>
      <c r="M37" s="798"/>
      <c r="N37" s="798"/>
      <c r="O37" s="798"/>
      <c r="P37" s="780"/>
      <c r="Q37" s="62"/>
      <c r="R37" s="5"/>
      <c r="S37" s="62"/>
    </row>
    <row r="38" spans="1:20" ht="15" customHeight="1">
      <c r="A38" s="35" t="s">
        <v>212</v>
      </c>
      <c r="I38" s="41"/>
      <c r="J38" s="791"/>
      <c r="K38" s="513"/>
      <c r="L38" s="107" t="s">
        <v>156</v>
      </c>
      <c r="M38" s="513"/>
      <c r="N38" s="513"/>
      <c r="O38" s="513"/>
      <c r="P38" s="222"/>
      <c r="Q38" s="62"/>
      <c r="R38" s="62"/>
      <c r="S38" s="62"/>
    </row>
    <row r="39" spans="1:20">
      <c r="I39" s="41"/>
      <c r="J39" s="791"/>
      <c r="K39" s="506" t="s">
        <v>76</v>
      </c>
      <c r="L39" s="108">
        <f>'Sources and Use'!C24</f>
        <v>2500000</v>
      </c>
      <c r="M39" s="513"/>
      <c r="N39" s="513"/>
      <c r="O39" s="167"/>
      <c r="P39" s="222"/>
      <c r="Q39" s="62"/>
      <c r="R39" s="62"/>
      <c r="S39" s="5"/>
      <c r="T39" s="1"/>
    </row>
    <row r="40" spans="1:20">
      <c r="I40" s="41"/>
      <c r="J40" s="791"/>
      <c r="K40" s="211" t="s">
        <v>107</v>
      </c>
      <c r="L40" s="158">
        <f>L39</f>
        <v>2500000</v>
      </c>
      <c r="M40" s="167"/>
      <c r="N40" s="167"/>
      <c r="O40" s="810"/>
      <c r="P40" s="222"/>
      <c r="Q40" s="19"/>
      <c r="R40" s="5"/>
      <c r="S40" s="5"/>
      <c r="T40" s="2"/>
    </row>
    <row r="41" spans="1:20">
      <c r="I41" s="3"/>
      <c r="J41" s="814"/>
      <c r="K41" s="815" t="s">
        <v>79</v>
      </c>
      <c r="L41" s="816">
        <v>3.15E-2</v>
      </c>
      <c r="M41" s="817" t="s">
        <v>213</v>
      </c>
      <c r="N41" s="817"/>
      <c r="O41" s="811"/>
      <c r="P41" s="787"/>
      <c r="R41" s="1"/>
      <c r="S41" s="1"/>
      <c r="T41" s="2"/>
    </row>
    <row r="42" spans="1:20">
      <c r="P42" s="513"/>
    </row>
    <row r="43" spans="1:20">
      <c r="J43"/>
      <c r="K43"/>
      <c r="L43"/>
      <c r="M43"/>
      <c r="N43"/>
      <c r="O43"/>
    </row>
    <row r="44" spans="1:20">
      <c r="G44" s="373"/>
      <c r="J44"/>
      <c r="K44"/>
      <c r="L44"/>
      <c r="M44"/>
      <c r="N44"/>
      <c r="O44"/>
    </row>
    <row r="45" spans="1:20">
      <c r="J45"/>
      <c r="K45"/>
      <c r="L45"/>
      <c r="M45"/>
      <c r="N45"/>
      <c r="O45"/>
    </row>
    <row r="46" spans="1:20">
      <c r="G46" s="373"/>
    </row>
    <row r="47" spans="1:20">
      <c r="G47" s="373"/>
    </row>
  </sheetData>
  <customSheetViews>
    <customSheetView guid="{25C4E7E7-1006-4A2D-BC83-AEE4ADF8A914}" scale="75" colorId="22" showPageBreaks="1" fitToPage="1" printArea="1" showRuler="0" topLeftCell="B22">
      <selection activeCell="H30" sqref="H30"/>
      <pageMargins left="0.7" right="0.7" top="0.75" bottom="0.75" header="0.3" footer="0.3"/>
      <headerFooter alignWithMargins="0"/>
    </customSheetView>
    <customSheetView guid="{28F81D13-D146-4D67-8981-BA5D7A496326}" scale="75" colorId="22" showPageBreaks="1" fitToPage="1" printArea="1" showRuler="0" topLeftCell="F20">
      <selection activeCell="A11" sqref="A11"/>
      <pageMargins left="0.7" right="0.7" top="0.75" bottom="0.75" header="0.3" footer="0.3"/>
      <headerFooter alignWithMargins="0"/>
    </customSheetView>
    <customSheetView guid="{AEA5979F-5357-4ED6-A6CA-1BB80F5C7A74}" scale="75" colorId="22" showPageBreaks="1" fitToPage="1" printArea="1" showRuler="0" topLeftCell="C7">
      <selection activeCell="J36" sqref="J36"/>
      <pageMargins left="0.7" right="0.7" top="0.75" bottom="0.75" header="0.3" footer="0.3"/>
      <headerFooter alignWithMargins="0"/>
    </customSheetView>
    <customSheetView guid="{EB776EFC-3589-4DB5-BEAF-1E83D9703F9E}" scale="75" colorId="22" fitToPage="1" showRuler="0" topLeftCell="F20">
      <selection activeCell="H39" sqref="H39"/>
      <pageMargins left="0.7" right="0.7" top="0.75" bottom="0.75" header="0.3" footer="0.3"/>
      <headerFooter alignWithMargins="0"/>
    </customSheetView>
    <customSheetView guid="{FBB4BF8E-8A9F-4E98-A6F9-5F9BF4C55C67}" scale="75" colorId="22" showPageBreaks="1" fitToPage="1" printArea="1" showRuler="0" topLeftCell="F20">
      <selection activeCell="H28" sqref="H28"/>
      <pageMargins left="0.7" right="0.7" top="0.75" bottom="0.75" header="0.3" footer="0.3"/>
      <headerFooter alignWithMargins="0"/>
    </customSheetView>
    <customSheetView guid="{6EF643BE-69F3-424E-8A44-3890161370D4}" scale="75" colorId="22" showPageBreaks="1" fitToPage="1" printArea="1" showRuler="0" topLeftCell="D19">
      <selection activeCell="H30" sqref="H30"/>
      <pageMargins left="0.7" right="0.7" top="0.75" bottom="0.75" header="0.3" footer="0.3"/>
      <headerFooter alignWithMargins="0"/>
    </customSheetView>
    <customSheetView guid="{1ECE83C7-A3CE-4F97-BFD3-498FF783C0D9}" scale="75" colorId="22" showPageBreaks="1" fitToPage="1" printArea="1" showRuler="0" topLeftCell="A13">
      <selection activeCell="H29" sqref="H29"/>
      <pageMargins left="0.7" right="0.7" top="0.75" bottom="0.75" header="0.3" footer="0.3"/>
      <headerFooter alignWithMargins="0"/>
    </customSheetView>
    <customSheetView guid="{560D4AFA-61E5-46C3-B0CD-D0EB3053A033}" scale="75" colorId="22" showPageBreaks="1" fitToPage="1" printArea="1" showRuler="0" topLeftCell="B10">
      <selection activeCell="H36" sqref="H36"/>
      <pageMargins left="0.7" right="0.7" top="0.75" bottom="0.75" header="0.3" footer="0.3"/>
      <headerFooter alignWithMargins="0"/>
    </customSheetView>
  </customSheetViews>
  <mergeCells count="3">
    <mergeCell ref="B6:C6"/>
    <mergeCell ref="D6:E6"/>
    <mergeCell ref="F6:G6"/>
  </mergeCells>
  <phoneticPr fontId="0" type="noConversion"/>
  <pageMargins left="0.5" right="0.5" top="0.5" bottom="0.4" header="0.3" footer="0.3"/>
  <pageSetup scale="58" orientation="landscape" r:id="rId1"/>
  <headerFooter alignWithMargins="0">
    <oddFooter>&amp;R&amp;10&amp;P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25</vt:i4>
      </vt:variant>
    </vt:vector>
  </HeadingPairs>
  <TitlesOfParts>
    <vt:vector size="42" baseType="lpstr">
      <vt:lpstr>Sources and Use</vt:lpstr>
      <vt:lpstr>VIHA Returns and Fees</vt:lpstr>
      <vt:lpstr>Devel. Bud</vt:lpstr>
      <vt:lpstr>Cons Int &amp; Neg Arb</vt:lpstr>
      <vt:lpstr>Cost Detail</vt:lpstr>
      <vt:lpstr>Units &amp; Income</vt:lpstr>
      <vt:lpstr>RADRentComp</vt:lpstr>
      <vt:lpstr>M&amp;O</vt:lpstr>
      <vt:lpstr>Debt Sizing</vt:lpstr>
      <vt:lpstr>Cash Flow</vt:lpstr>
      <vt:lpstr>Tax Credits</vt:lpstr>
      <vt:lpstr>LIHTC Delivery</vt:lpstr>
      <vt:lpstr>Source by Use</vt:lpstr>
      <vt:lpstr>Source by Eligiblity</vt:lpstr>
      <vt:lpstr>Draw Schedule</vt:lpstr>
      <vt:lpstr>Mortgage - Yearly</vt:lpstr>
      <vt:lpstr>Mortgage - Monthly</vt:lpstr>
      <vt:lpstr>'Draw Schedule'!deferredfee</vt:lpstr>
      <vt:lpstr>'Draw Schedule'!deferredfee2</vt:lpstr>
      <vt:lpstr>permloanamount</vt:lpstr>
      <vt:lpstr>'Cash Flow'!Print_Area</vt:lpstr>
      <vt:lpstr>'Cons Int &amp; Neg Arb'!Print_Area</vt:lpstr>
      <vt:lpstr>'Cost Detail'!Print_Area</vt:lpstr>
      <vt:lpstr>'Debt Sizing'!Print_Area</vt:lpstr>
      <vt:lpstr>'Devel. Bud'!Print_Area</vt:lpstr>
      <vt:lpstr>'Draw Schedule'!Print_Area</vt:lpstr>
      <vt:lpstr>'LIHTC Delivery'!Print_Area</vt:lpstr>
      <vt:lpstr>'M&amp;O'!Print_Area</vt:lpstr>
      <vt:lpstr>'Mortgage - Monthly'!Print_Area</vt:lpstr>
      <vt:lpstr>'Mortgage - Yearly'!Print_Area</vt:lpstr>
      <vt:lpstr>RADRentComp!Print_Area</vt:lpstr>
      <vt:lpstr>'Source by Eligiblity'!Print_Area</vt:lpstr>
      <vt:lpstr>'Source by Use'!Print_Area</vt:lpstr>
      <vt:lpstr>'Sources and Use'!Print_Area</vt:lpstr>
      <vt:lpstr>'Tax Credits'!Print_Area</vt:lpstr>
      <vt:lpstr>'Units &amp; Income'!Print_Area</vt:lpstr>
      <vt:lpstr>'VIHA Returns and Fees'!Print_Area</vt:lpstr>
      <vt:lpstr>'Cash Flow'!Print_Titles</vt:lpstr>
      <vt:lpstr>'Devel. Bud'!Print_Titles</vt:lpstr>
      <vt:lpstr>'Units &amp; Income'!Print_Titles</vt:lpstr>
      <vt:lpstr>totalrooms</vt:lpstr>
      <vt:lpstr>totalunits</vt:lpstr>
    </vt:vector>
  </TitlesOfParts>
  <Company>NYC Housing Development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mschatz</dc:creator>
  <cp:lastModifiedBy>KHayat</cp:lastModifiedBy>
  <cp:lastPrinted>2020-06-16T23:05:05Z</cp:lastPrinted>
  <dcterms:created xsi:type="dcterms:W3CDTF">1998-09-24T19:31:31Z</dcterms:created>
  <dcterms:modified xsi:type="dcterms:W3CDTF">2021-01-07T14:27:18Z</dcterms:modified>
</cp:coreProperties>
</file>